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Ex1.xml" ContentType="application/vnd.ms-office.chartex+xml"/>
  <Override PartName="/xl/charts/style1.xml" ContentType="application/vnd.ms-office.chartstyle+xml"/>
  <Override PartName="/xl/charts/colors1.xml" ContentType="application/vnd.ms-office.chartcolorstyle+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xr:revisionPtr revIDLastSave="2" documentId="8_{A3E33242-9BA4-4CCC-99D2-3BAA09C7F607}" xr6:coauthVersionLast="47" xr6:coauthVersionMax="47" xr10:uidLastSave="{2B877F4E-CDF1-4681-BA7C-A3D310F146FC}"/>
  <bookViews>
    <workbookView xWindow="26070" yWindow="345" windowWidth="20295" windowHeight="13470" tabRatio="789" xr2:uid="{00000000-000D-0000-FFFF-FFFF00000000}"/>
  </bookViews>
  <sheets>
    <sheet name="Weekly Hiring Approvals" sheetId="1" r:id="rId1"/>
    <sheet name="How It Works" sheetId="2" r:id="rId2"/>
    <sheet name="Assumptions" sheetId="3" r:id="rId3"/>
    <sheet name="Acquisitions" sheetId="4" r:id="rId4"/>
    <sheet name="Dept Summary" sheetId="5" r:id="rId5"/>
    <sheet name="Seats" sheetId="6" r:id="rId6"/>
    <sheet name="Requests" sheetId="7" r:id="rId7"/>
    <sheet name="Roster" sheetId="8" r:id="rId8"/>
  </sheets>
  <definedNames>
    <definedName name="_xlnm._FilterDatabase" localSheetId="7" hidden="1">Roster!$A$4:$O$537</definedName>
    <definedName name="_xlnm._FilterDatabase" localSheetId="5" hidden="1">Seats!$A$4:$W$526</definedName>
    <definedName name="_xlchart.v5.0" hidden="1">'Weekly Hiring Approvals'!$K$54:$K$59</definedName>
    <definedName name="_xlchart.v5.1" hidden="1">'Weekly Hiring Approvals'!$L$54:$L$59</definedName>
    <definedName name="_xlnm.Print_Area" localSheetId="0">'Weekly Hiring Approvals'!$A$1:$J$77</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N537" i="8" l="1"/>
  <c r="O537" i="8" s="1"/>
  <c r="J537" i="8"/>
  <c r="N536" i="8"/>
  <c r="O536" i="8" s="1"/>
  <c r="J536" i="8"/>
  <c r="N535" i="8"/>
  <c r="O535" i="8" s="1"/>
  <c r="J535" i="8"/>
  <c r="N534" i="8"/>
  <c r="O534" i="8" s="1"/>
  <c r="J534" i="8"/>
  <c r="N533" i="8"/>
  <c r="O533" i="8" s="1"/>
  <c r="J533" i="8"/>
  <c r="N532" i="8"/>
  <c r="O532" i="8" s="1"/>
  <c r="J532" i="8"/>
  <c r="N531" i="8"/>
  <c r="O531" i="8" s="1"/>
  <c r="J531" i="8"/>
  <c r="N530" i="8"/>
  <c r="O530" i="8" s="1"/>
  <c r="J530" i="8"/>
  <c r="N529" i="8"/>
  <c r="O529" i="8" s="1"/>
  <c r="J529" i="8"/>
  <c r="N528" i="8"/>
  <c r="O528" i="8" s="1"/>
  <c r="J528" i="8"/>
  <c r="N527" i="8"/>
  <c r="O527" i="8" s="1"/>
  <c r="J527" i="8"/>
  <c r="N526" i="8"/>
  <c r="O526" i="8" s="1"/>
  <c r="K526" i="8"/>
  <c r="J526" i="8"/>
  <c r="L526" i="8" s="1"/>
  <c r="M526" i="8" s="1"/>
  <c r="N525" i="8"/>
  <c r="O525" i="8" s="1"/>
  <c r="J525" i="8"/>
  <c r="N524" i="8"/>
  <c r="O524" i="8" s="1"/>
  <c r="J524" i="8"/>
  <c r="N523" i="8"/>
  <c r="O523" i="8" s="1"/>
  <c r="J523" i="8"/>
  <c r="N522" i="8"/>
  <c r="O522" i="8" s="1"/>
  <c r="J522" i="8"/>
  <c r="N521" i="8"/>
  <c r="O521" i="8" s="1"/>
  <c r="J521" i="8"/>
  <c r="N520" i="8"/>
  <c r="O520" i="8" s="1"/>
  <c r="J520" i="8"/>
  <c r="N519" i="8"/>
  <c r="O519" i="8" s="1"/>
  <c r="K519" i="8"/>
  <c r="J519" i="8"/>
  <c r="N518" i="8"/>
  <c r="O518" i="8" s="1"/>
  <c r="J518" i="8"/>
  <c r="N517" i="8"/>
  <c r="O517" i="8" s="1"/>
  <c r="J517" i="8"/>
  <c r="N516" i="8"/>
  <c r="O516" i="8" s="1"/>
  <c r="J516" i="8"/>
  <c r="N515" i="8"/>
  <c r="O515" i="8" s="1"/>
  <c r="J515" i="8"/>
  <c r="N514" i="8"/>
  <c r="O514" i="8" s="1"/>
  <c r="J514" i="8"/>
  <c r="N513" i="8"/>
  <c r="O513" i="8" s="1"/>
  <c r="J513" i="8"/>
  <c r="N512" i="8"/>
  <c r="O512" i="8" s="1"/>
  <c r="J512" i="8"/>
  <c r="N511" i="8"/>
  <c r="O511" i="8" s="1"/>
  <c r="J511" i="8"/>
  <c r="N510" i="8"/>
  <c r="O510" i="8" s="1"/>
  <c r="J510" i="8"/>
  <c r="N509" i="8"/>
  <c r="O509" i="8" s="1"/>
  <c r="J509" i="8"/>
  <c r="N508" i="8"/>
  <c r="O508" i="8" s="1"/>
  <c r="J508" i="8"/>
  <c r="N507" i="8"/>
  <c r="O507" i="8" s="1"/>
  <c r="J507" i="8"/>
  <c r="N506" i="8"/>
  <c r="O506" i="8" s="1"/>
  <c r="J506" i="8"/>
  <c r="N505" i="8"/>
  <c r="O505" i="8" s="1"/>
  <c r="J505" i="8"/>
  <c r="N504" i="8"/>
  <c r="O504" i="8" s="1"/>
  <c r="J504" i="8"/>
  <c r="N503" i="8"/>
  <c r="O503" i="8" s="1"/>
  <c r="J503" i="8"/>
  <c r="N502" i="8"/>
  <c r="O502" i="8" s="1"/>
  <c r="J502" i="8"/>
  <c r="N501" i="8"/>
  <c r="O501" i="8" s="1"/>
  <c r="J501" i="8"/>
  <c r="N500" i="8"/>
  <c r="O500" i="8" s="1"/>
  <c r="J500" i="8"/>
  <c r="N499" i="8"/>
  <c r="O499" i="8" s="1"/>
  <c r="J499" i="8"/>
  <c r="N498" i="8"/>
  <c r="O498" i="8" s="1"/>
  <c r="J498" i="8"/>
  <c r="N497" i="8"/>
  <c r="O497" i="8" s="1"/>
  <c r="K497" i="8"/>
  <c r="J497" i="8"/>
  <c r="N496" i="8"/>
  <c r="O496" i="8" s="1"/>
  <c r="J496" i="8"/>
  <c r="N495" i="8"/>
  <c r="O495" i="8" s="1"/>
  <c r="J495" i="8"/>
  <c r="N494" i="8"/>
  <c r="O494" i="8" s="1"/>
  <c r="J494" i="8"/>
  <c r="N493" i="8"/>
  <c r="O493" i="8" s="1"/>
  <c r="J493" i="8"/>
  <c r="N492" i="8"/>
  <c r="O492" i="8" s="1"/>
  <c r="J492" i="8"/>
  <c r="N491" i="8"/>
  <c r="O491" i="8" s="1"/>
  <c r="J491" i="8"/>
  <c r="N490" i="8"/>
  <c r="O490" i="8" s="1"/>
  <c r="J490" i="8"/>
  <c r="N489" i="8"/>
  <c r="O489" i="8" s="1"/>
  <c r="J489" i="8"/>
  <c r="N488" i="8"/>
  <c r="O488" i="8" s="1"/>
  <c r="J488" i="8"/>
  <c r="N487" i="8"/>
  <c r="O487" i="8" s="1"/>
  <c r="J487" i="8"/>
  <c r="N486" i="8"/>
  <c r="O486" i="8" s="1"/>
  <c r="J486" i="8"/>
  <c r="N485" i="8"/>
  <c r="O485" i="8" s="1"/>
  <c r="J485" i="8"/>
  <c r="N484" i="8"/>
  <c r="O484" i="8" s="1"/>
  <c r="J484" i="8"/>
  <c r="N483" i="8"/>
  <c r="O483" i="8" s="1"/>
  <c r="J483" i="8"/>
  <c r="N482" i="8"/>
  <c r="O482" i="8" s="1"/>
  <c r="J482" i="8"/>
  <c r="N481" i="8"/>
  <c r="O481" i="8" s="1"/>
  <c r="J481" i="8"/>
  <c r="N480" i="8"/>
  <c r="O480" i="8" s="1"/>
  <c r="J480" i="8"/>
  <c r="N479" i="8"/>
  <c r="O479" i="8" s="1"/>
  <c r="J479" i="8"/>
  <c r="N478" i="8"/>
  <c r="O478" i="8" s="1"/>
  <c r="J478" i="8"/>
  <c r="N477" i="8"/>
  <c r="O477" i="8" s="1"/>
  <c r="J477" i="8"/>
  <c r="N476" i="8"/>
  <c r="O476" i="8" s="1"/>
  <c r="J476" i="8"/>
  <c r="N475" i="8"/>
  <c r="O475" i="8" s="1"/>
  <c r="J475" i="8"/>
  <c r="N474" i="8"/>
  <c r="O474" i="8" s="1"/>
  <c r="J474" i="8"/>
  <c r="N473" i="8"/>
  <c r="O473" i="8" s="1"/>
  <c r="J473" i="8"/>
  <c r="N472" i="8"/>
  <c r="O472" i="8" s="1"/>
  <c r="J472" i="8"/>
  <c r="N471" i="8"/>
  <c r="O471" i="8" s="1"/>
  <c r="J471" i="8"/>
  <c r="N470" i="8"/>
  <c r="O470" i="8" s="1"/>
  <c r="J470" i="8"/>
  <c r="N469" i="8"/>
  <c r="O469" i="8" s="1"/>
  <c r="J469" i="8"/>
  <c r="N468" i="8"/>
  <c r="O468" i="8" s="1"/>
  <c r="J468" i="8"/>
  <c r="N467" i="8"/>
  <c r="O467" i="8" s="1"/>
  <c r="J467" i="8"/>
  <c r="N466" i="8"/>
  <c r="O466" i="8" s="1"/>
  <c r="K466" i="8"/>
  <c r="J466" i="8"/>
  <c r="L466" i="8" s="1"/>
  <c r="M466" i="8" s="1"/>
  <c r="N465" i="8"/>
  <c r="O465" i="8" s="1"/>
  <c r="J465" i="8"/>
  <c r="N464" i="8"/>
  <c r="O464" i="8" s="1"/>
  <c r="J464" i="8"/>
  <c r="N463" i="8"/>
  <c r="O463" i="8" s="1"/>
  <c r="J463" i="8"/>
  <c r="N462" i="8"/>
  <c r="O462" i="8" s="1"/>
  <c r="J462" i="8"/>
  <c r="N461" i="8"/>
  <c r="O461" i="8" s="1"/>
  <c r="J461" i="8"/>
  <c r="N460" i="8"/>
  <c r="O460" i="8" s="1"/>
  <c r="J460" i="8"/>
  <c r="N459" i="8"/>
  <c r="O459" i="8" s="1"/>
  <c r="J459" i="8"/>
  <c r="N458" i="8"/>
  <c r="O458" i="8" s="1"/>
  <c r="J458" i="8"/>
  <c r="N457" i="8"/>
  <c r="O457" i="8" s="1"/>
  <c r="K457" i="8"/>
  <c r="J457" i="8"/>
  <c r="N456" i="8"/>
  <c r="O456" i="8" s="1"/>
  <c r="J456" i="8"/>
  <c r="N455" i="8"/>
  <c r="O455" i="8" s="1"/>
  <c r="J455" i="8"/>
  <c r="N454" i="8"/>
  <c r="O454" i="8" s="1"/>
  <c r="J454" i="8"/>
  <c r="N453" i="8"/>
  <c r="O453" i="8" s="1"/>
  <c r="K453" i="8"/>
  <c r="J453" i="8"/>
  <c r="N452" i="8"/>
  <c r="O452" i="8" s="1"/>
  <c r="J452" i="8"/>
  <c r="N451" i="8"/>
  <c r="O451" i="8" s="1"/>
  <c r="J451" i="8"/>
  <c r="N450" i="8"/>
  <c r="O450" i="8" s="1"/>
  <c r="J450" i="8"/>
  <c r="N449" i="8"/>
  <c r="O449" i="8" s="1"/>
  <c r="J449" i="8"/>
  <c r="N448" i="8"/>
  <c r="O448" i="8" s="1"/>
  <c r="J448" i="8"/>
  <c r="N447" i="8"/>
  <c r="O447" i="8" s="1"/>
  <c r="J447" i="8"/>
  <c r="N446" i="8"/>
  <c r="O446" i="8" s="1"/>
  <c r="J446" i="8"/>
  <c r="N445" i="8"/>
  <c r="O445" i="8" s="1"/>
  <c r="J445" i="8"/>
  <c r="N444" i="8"/>
  <c r="O444" i="8" s="1"/>
  <c r="J444" i="8"/>
  <c r="N443" i="8"/>
  <c r="O443" i="8" s="1"/>
  <c r="J443" i="8"/>
  <c r="N442" i="8"/>
  <c r="O442" i="8" s="1"/>
  <c r="J442" i="8"/>
  <c r="N441" i="8"/>
  <c r="O441" i="8" s="1"/>
  <c r="J441" i="8"/>
  <c r="N440" i="8"/>
  <c r="O440" i="8" s="1"/>
  <c r="J440" i="8"/>
  <c r="N439" i="8"/>
  <c r="O439" i="8" s="1"/>
  <c r="J439" i="8"/>
  <c r="N438" i="8"/>
  <c r="O438" i="8" s="1"/>
  <c r="J438" i="8"/>
  <c r="N437" i="8"/>
  <c r="O437" i="8" s="1"/>
  <c r="K437" i="8"/>
  <c r="J437" i="8"/>
  <c r="N436" i="8"/>
  <c r="O436" i="8" s="1"/>
  <c r="J436" i="8"/>
  <c r="N435" i="8"/>
  <c r="O435" i="8" s="1"/>
  <c r="J435" i="8"/>
  <c r="N434" i="8"/>
  <c r="O434" i="8" s="1"/>
  <c r="J434" i="8"/>
  <c r="N433" i="8"/>
  <c r="O433" i="8" s="1"/>
  <c r="J433" i="8"/>
  <c r="N432" i="8"/>
  <c r="O432" i="8" s="1"/>
  <c r="J432" i="8"/>
  <c r="N431" i="8"/>
  <c r="O431" i="8" s="1"/>
  <c r="J431" i="8"/>
  <c r="N430" i="8"/>
  <c r="O430" i="8" s="1"/>
  <c r="J430" i="8"/>
  <c r="N429" i="8"/>
  <c r="O429" i="8" s="1"/>
  <c r="J429" i="8"/>
  <c r="N428" i="8"/>
  <c r="O428" i="8" s="1"/>
  <c r="J428" i="8"/>
  <c r="N427" i="8"/>
  <c r="O427" i="8" s="1"/>
  <c r="J427" i="8"/>
  <c r="N426" i="8"/>
  <c r="O426" i="8" s="1"/>
  <c r="J426" i="8"/>
  <c r="N425" i="8"/>
  <c r="O425" i="8" s="1"/>
  <c r="J425" i="8"/>
  <c r="N424" i="8"/>
  <c r="O424" i="8" s="1"/>
  <c r="J424" i="8"/>
  <c r="N423" i="8"/>
  <c r="O423" i="8" s="1"/>
  <c r="J423" i="8"/>
  <c r="N422" i="8"/>
  <c r="O422" i="8" s="1"/>
  <c r="J422" i="8"/>
  <c r="N421" i="8"/>
  <c r="O421" i="8" s="1"/>
  <c r="J421" i="8"/>
  <c r="N420" i="8"/>
  <c r="O420" i="8" s="1"/>
  <c r="J420" i="8"/>
  <c r="N419" i="8"/>
  <c r="O419" i="8" s="1"/>
  <c r="K419" i="8"/>
  <c r="J419" i="8"/>
  <c r="N418" i="8"/>
  <c r="O418" i="8" s="1"/>
  <c r="J418" i="8"/>
  <c r="N417" i="8"/>
  <c r="O417" i="8" s="1"/>
  <c r="J417" i="8"/>
  <c r="N416" i="8"/>
  <c r="O416" i="8" s="1"/>
  <c r="J416" i="8"/>
  <c r="N415" i="8"/>
  <c r="O415" i="8" s="1"/>
  <c r="J415" i="8"/>
  <c r="N414" i="8"/>
  <c r="O414" i="8" s="1"/>
  <c r="J414" i="8"/>
  <c r="N413" i="8"/>
  <c r="O413" i="8" s="1"/>
  <c r="J413" i="8"/>
  <c r="N412" i="8"/>
  <c r="O412" i="8" s="1"/>
  <c r="J412" i="8"/>
  <c r="N411" i="8"/>
  <c r="O411" i="8" s="1"/>
  <c r="J411" i="8"/>
  <c r="N410" i="8"/>
  <c r="O410" i="8" s="1"/>
  <c r="J410" i="8"/>
  <c r="N409" i="8"/>
  <c r="O409" i="8" s="1"/>
  <c r="J409" i="8"/>
  <c r="N408" i="8"/>
  <c r="O408" i="8" s="1"/>
  <c r="J408" i="8"/>
  <c r="N407" i="8"/>
  <c r="O407" i="8" s="1"/>
  <c r="J407" i="8"/>
  <c r="N406" i="8"/>
  <c r="O406" i="8" s="1"/>
  <c r="J406" i="8"/>
  <c r="N405" i="8"/>
  <c r="O405" i="8" s="1"/>
  <c r="J405" i="8"/>
  <c r="N404" i="8"/>
  <c r="O404" i="8" s="1"/>
  <c r="J404" i="8"/>
  <c r="N403" i="8"/>
  <c r="O403" i="8" s="1"/>
  <c r="J403" i="8"/>
  <c r="N402" i="8"/>
  <c r="O402" i="8" s="1"/>
  <c r="J402" i="8"/>
  <c r="N401" i="8"/>
  <c r="O401" i="8" s="1"/>
  <c r="J401" i="8"/>
  <c r="N400" i="8"/>
  <c r="O400" i="8" s="1"/>
  <c r="J400" i="8"/>
  <c r="N399" i="8"/>
  <c r="O399" i="8" s="1"/>
  <c r="J399" i="8"/>
  <c r="N398" i="8"/>
  <c r="O398" i="8" s="1"/>
  <c r="J398" i="8"/>
  <c r="N397" i="8"/>
  <c r="O397" i="8" s="1"/>
  <c r="J397" i="8"/>
  <c r="N396" i="8"/>
  <c r="O396" i="8" s="1"/>
  <c r="J396" i="8"/>
  <c r="N395" i="8"/>
  <c r="O395" i="8" s="1"/>
  <c r="J395" i="8"/>
  <c r="N394" i="8"/>
  <c r="O394" i="8" s="1"/>
  <c r="J394" i="8"/>
  <c r="N393" i="8"/>
  <c r="O393" i="8" s="1"/>
  <c r="J393" i="8"/>
  <c r="N392" i="8"/>
  <c r="O392" i="8" s="1"/>
  <c r="J392" i="8"/>
  <c r="N391" i="8"/>
  <c r="O391" i="8" s="1"/>
  <c r="J391" i="8"/>
  <c r="N390" i="8"/>
  <c r="O390" i="8" s="1"/>
  <c r="J390" i="8"/>
  <c r="N389" i="8"/>
  <c r="O389" i="8" s="1"/>
  <c r="J389" i="8"/>
  <c r="O388" i="8"/>
  <c r="N388" i="8"/>
  <c r="J388" i="8"/>
  <c r="O387" i="8"/>
  <c r="N387" i="8"/>
  <c r="J387" i="8"/>
  <c r="N386" i="8"/>
  <c r="O386" i="8" s="1"/>
  <c r="J386" i="8"/>
  <c r="N385" i="8"/>
  <c r="O385" i="8" s="1"/>
  <c r="J385" i="8"/>
  <c r="O384" i="8"/>
  <c r="N384" i="8"/>
  <c r="J384" i="8"/>
  <c r="O383" i="8"/>
  <c r="N383" i="8"/>
  <c r="J383" i="8"/>
  <c r="N382" i="8"/>
  <c r="O382" i="8" s="1"/>
  <c r="J382" i="8"/>
  <c r="N381" i="8"/>
  <c r="O381" i="8" s="1"/>
  <c r="J381" i="8"/>
  <c r="O380" i="8"/>
  <c r="N380" i="8"/>
  <c r="M380" i="8"/>
  <c r="K380" i="8"/>
  <c r="L380" i="8" s="1"/>
  <c r="J380" i="8"/>
  <c r="O379" i="8"/>
  <c r="N379" i="8"/>
  <c r="J379" i="8"/>
  <c r="N378" i="8"/>
  <c r="O378" i="8" s="1"/>
  <c r="J378" i="8"/>
  <c r="N377" i="8"/>
  <c r="O377" i="8" s="1"/>
  <c r="J377" i="8"/>
  <c r="O376" i="8"/>
  <c r="N376" i="8"/>
  <c r="J376" i="8"/>
  <c r="O375" i="8"/>
  <c r="N375" i="8"/>
  <c r="J375" i="8"/>
  <c r="N374" i="8"/>
  <c r="O374" i="8" s="1"/>
  <c r="J374" i="8"/>
  <c r="N373" i="8"/>
  <c r="O373" i="8" s="1"/>
  <c r="J373" i="8"/>
  <c r="O372" i="8"/>
  <c r="N372" i="8"/>
  <c r="J372" i="8"/>
  <c r="O371" i="8"/>
  <c r="N371" i="8"/>
  <c r="J371" i="8"/>
  <c r="N370" i="8"/>
  <c r="O370" i="8" s="1"/>
  <c r="J370" i="8"/>
  <c r="N369" i="8"/>
  <c r="O369" i="8" s="1"/>
  <c r="J369" i="8"/>
  <c r="O368" i="8"/>
  <c r="N368" i="8"/>
  <c r="J368" i="8"/>
  <c r="O367" i="8"/>
  <c r="N367" i="8"/>
  <c r="J367" i="8"/>
  <c r="N366" i="8"/>
  <c r="O366" i="8" s="1"/>
  <c r="J366" i="8"/>
  <c r="O365" i="8"/>
  <c r="N365" i="8"/>
  <c r="J365" i="8"/>
  <c r="N364" i="8"/>
  <c r="O364" i="8" s="1"/>
  <c r="J364" i="8"/>
  <c r="O363" i="8"/>
  <c r="N363" i="8"/>
  <c r="J363" i="8"/>
  <c r="N362" i="8"/>
  <c r="O362" i="8" s="1"/>
  <c r="J362" i="8"/>
  <c r="O361" i="8"/>
  <c r="N361" i="8"/>
  <c r="M361" i="8"/>
  <c r="K361" i="8"/>
  <c r="L361" i="8" s="1"/>
  <c r="J361" i="8"/>
  <c r="N360" i="8"/>
  <c r="O360" i="8" s="1"/>
  <c r="J360" i="8"/>
  <c r="O359" i="8"/>
  <c r="N359" i="8"/>
  <c r="J359" i="8"/>
  <c r="N358" i="8"/>
  <c r="O358" i="8" s="1"/>
  <c r="J358" i="8"/>
  <c r="O357" i="8"/>
  <c r="N357" i="8"/>
  <c r="M357" i="8"/>
  <c r="K357" i="8"/>
  <c r="L357" i="8" s="1"/>
  <c r="J357" i="8"/>
  <c r="N356" i="8"/>
  <c r="O356" i="8" s="1"/>
  <c r="J356" i="8"/>
  <c r="N355" i="8"/>
  <c r="O355" i="8" s="1"/>
  <c r="J355" i="8"/>
  <c r="N354" i="8"/>
  <c r="O354" i="8" s="1"/>
  <c r="J354" i="8"/>
  <c r="O353" i="8"/>
  <c r="N353" i="8"/>
  <c r="J353" i="8"/>
  <c r="N352" i="8"/>
  <c r="O352" i="8" s="1"/>
  <c r="J352" i="8"/>
  <c r="N351" i="8"/>
  <c r="O351" i="8" s="1"/>
  <c r="J351" i="8"/>
  <c r="N350" i="8"/>
  <c r="O350" i="8" s="1"/>
  <c r="J350" i="8"/>
  <c r="O349" i="8"/>
  <c r="N349" i="8"/>
  <c r="J349" i="8"/>
  <c r="N348" i="8"/>
  <c r="O348" i="8" s="1"/>
  <c r="J348" i="8"/>
  <c r="N347" i="8"/>
  <c r="O347" i="8" s="1"/>
  <c r="J347" i="8"/>
  <c r="N346" i="8"/>
  <c r="O346" i="8" s="1"/>
  <c r="J346" i="8"/>
  <c r="O345" i="8"/>
  <c r="N345" i="8"/>
  <c r="J345" i="8"/>
  <c r="N344" i="8"/>
  <c r="O344" i="8" s="1"/>
  <c r="J344" i="8"/>
  <c r="N343" i="8"/>
  <c r="O343" i="8" s="1"/>
  <c r="J343" i="8"/>
  <c r="N342" i="8"/>
  <c r="O342" i="8" s="1"/>
  <c r="J342" i="8"/>
  <c r="O341" i="8"/>
  <c r="N341" i="8"/>
  <c r="J341" i="8"/>
  <c r="N340" i="8"/>
  <c r="O340" i="8" s="1"/>
  <c r="J340" i="8"/>
  <c r="N339" i="8"/>
  <c r="O339" i="8" s="1"/>
  <c r="J339" i="8"/>
  <c r="N338" i="8"/>
  <c r="O338" i="8" s="1"/>
  <c r="J338" i="8"/>
  <c r="O337" i="8"/>
  <c r="N337" i="8"/>
  <c r="J337" i="8"/>
  <c r="N336" i="8"/>
  <c r="O336" i="8" s="1"/>
  <c r="K336" i="8"/>
  <c r="L336" i="8" s="1"/>
  <c r="M336" i="8" s="1"/>
  <c r="J336" i="8"/>
  <c r="N335" i="8"/>
  <c r="O335" i="8" s="1"/>
  <c r="J335" i="8"/>
  <c r="N334" i="8"/>
  <c r="O334" i="8" s="1"/>
  <c r="J334" i="8"/>
  <c r="O333" i="8"/>
  <c r="N333" i="8"/>
  <c r="J333" i="8"/>
  <c r="N332" i="8"/>
  <c r="O332" i="8" s="1"/>
  <c r="J332" i="8"/>
  <c r="N331" i="8"/>
  <c r="O331" i="8" s="1"/>
  <c r="J331" i="8"/>
  <c r="N330" i="8"/>
  <c r="O330" i="8" s="1"/>
  <c r="J330" i="8"/>
  <c r="O329" i="8"/>
  <c r="N329" i="8"/>
  <c r="J329" i="8"/>
  <c r="N328" i="8"/>
  <c r="O328" i="8" s="1"/>
  <c r="J328" i="8"/>
  <c r="N327" i="8"/>
  <c r="O327" i="8" s="1"/>
  <c r="J327" i="8"/>
  <c r="N326" i="8"/>
  <c r="O326" i="8" s="1"/>
  <c r="J326" i="8"/>
  <c r="O325" i="8"/>
  <c r="N325" i="8"/>
  <c r="J325" i="8"/>
  <c r="N324" i="8"/>
  <c r="O324" i="8" s="1"/>
  <c r="J324" i="8"/>
  <c r="N323" i="8"/>
  <c r="O323" i="8" s="1"/>
  <c r="J323" i="8"/>
  <c r="N322" i="8"/>
  <c r="O322" i="8" s="1"/>
  <c r="J322" i="8"/>
  <c r="O321" i="8"/>
  <c r="N321" i="8"/>
  <c r="J321" i="8"/>
  <c r="N320" i="8"/>
  <c r="O320" i="8" s="1"/>
  <c r="K320" i="8"/>
  <c r="L320" i="8" s="1"/>
  <c r="M320" i="8" s="1"/>
  <c r="J320" i="8"/>
  <c r="N319" i="8"/>
  <c r="O319" i="8" s="1"/>
  <c r="J319" i="8"/>
  <c r="N318" i="8"/>
  <c r="O318" i="8" s="1"/>
  <c r="J318" i="8"/>
  <c r="O317" i="8"/>
  <c r="N317" i="8"/>
  <c r="J317" i="8"/>
  <c r="N316" i="8"/>
  <c r="O316" i="8" s="1"/>
  <c r="J316" i="8"/>
  <c r="N315" i="8"/>
  <c r="O315" i="8" s="1"/>
  <c r="J315" i="8"/>
  <c r="N314" i="8"/>
  <c r="O314" i="8" s="1"/>
  <c r="J314" i="8"/>
  <c r="O313" i="8"/>
  <c r="N313" i="8"/>
  <c r="J313" i="8"/>
  <c r="N312" i="8"/>
  <c r="O312" i="8" s="1"/>
  <c r="J312" i="8"/>
  <c r="N311" i="8"/>
  <c r="O311" i="8" s="1"/>
  <c r="J311" i="8"/>
  <c r="N310" i="8"/>
  <c r="O310" i="8" s="1"/>
  <c r="J310" i="8"/>
  <c r="O309" i="8"/>
  <c r="N309" i="8"/>
  <c r="J309" i="8"/>
  <c r="N308" i="8"/>
  <c r="O308" i="8" s="1"/>
  <c r="M308" i="8"/>
  <c r="L308" i="8"/>
  <c r="K308" i="8"/>
  <c r="J308" i="8"/>
  <c r="N307" i="8"/>
  <c r="O307" i="8" s="1"/>
  <c r="J307" i="8"/>
  <c r="N306" i="8"/>
  <c r="O306" i="8" s="1"/>
  <c r="J306" i="8"/>
  <c r="N305" i="8"/>
  <c r="O305" i="8" s="1"/>
  <c r="J305" i="8"/>
  <c r="N304" i="8"/>
  <c r="O304" i="8" s="1"/>
  <c r="J304" i="8"/>
  <c r="N303" i="8"/>
  <c r="O303" i="8" s="1"/>
  <c r="J303" i="8"/>
  <c r="N302" i="8"/>
  <c r="O302" i="8" s="1"/>
  <c r="J302" i="8"/>
  <c r="N301" i="8"/>
  <c r="O301" i="8" s="1"/>
  <c r="J301" i="8"/>
  <c r="N300" i="8"/>
  <c r="O300" i="8" s="1"/>
  <c r="J300" i="8"/>
  <c r="N299" i="8"/>
  <c r="O299" i="8" s="1"/>
  <c r="J299" i="8"/>
  <c r="N298" i="8"/>
  <c r="O298" i="8" s="1"/>
  <c r="J298" i="8"/>
  <c r="N297" i="8"/>
  <c r="O297" i="8" s="1"/>
  <c r="J297" i="8"/>
  <c r="N296" i="8"/>
  <c r="O296" i="8" s="1"/>
  <c r="J296" i="8"/>
  <c r="N295" i="8"/>
  <c r="O295" i="8" s="1"/>
  <c r="J295" i="8"/>
  <c r="N294" i="8"/>
  <c r="O294" i="8" s="1"/>
  <c r="J294" i="8"/>
  <c r="N293" i="8"/>
  <c r="O293" i="8" s="1"/>
  <c r="J293" i="8"/>
  <c r="N292" i="8"/>
  <c r="O292" i="8" s="1"/>
  <c r="J292" i="8"/>
  <c r="N291" i="8"/>
  <c r="O291" i="8" s="1"/>
  <c r="J291" i="8"/>
  <c r="N290" i="8"/>
  <c r="O290" i="8" s="1"/>
  <c r="J290" i="8"/>
  <c r="N289" i="8"/>
  <c r="O289" i="8" s="1"/>
  <c r="J289" i="8"/>
  <c r="N288" i="8"/>
  <c r="O288" i="8" s="1"/>
  <c r="J288" i="8"/>
  <c r="N287" i="8"/>
  <c r="O287" i="8" s="1"/>
  <c r="J287" i="8"/>
  <c r="N286" i="8"/>
  <c r="O286" i="8" s="1"/>
  <c r="J286" i="8"/>
  <c r="N285" i="8"/>
  <c r="O285" i="8" s="1"/>
  <c r="J285" i="8"/>
  <c r="N284" i="8"/>
  <c r="O284" i="8" s="1"/>
  <c r="J284" i="8"/>
  <c r="N283" i="8"/>
  <c r="O283" i="8" s="1"/>
  <c r="J283" i="8"/>
  <c r="N282" i="8"/>
  <c r="O282" i="8" s="1"/>
  <c r="J282" i="8"/>
  <c r="N281" i="8"/>
  <c r="O281" i="8" s="1"/>
  <c r="J281" i="8"/>
  <c r="N280" i="8"/>
  <c r="O280" i="8" s="1"/>
  <c r="J280" i="8"/>
  <c r="N279" i="8"/>
  <c r="O279" i="8" s="1"/>
  <c r="J279" i="8"/>
  <c r="N278" i="8"/>
  <c r="O278" i="8" s="1"/>
  <c r="J278" i="8"/>
  <c r="N277" i="8"/>
  <c r="O277" i="8" s="1"/>
  <c r="J277" i="8"/>
  <c r="N276" i="8"/>
  <c r="O276" i="8" s="1"/>
  <c r="M276" i="8"/>
  <c r="K276" i="8"/>
  <c r="J276" i="8"/>
  <c r="L276" i="8" s="1"/>
  <c r="N275" i="8"/>
  <c r="O275" i="8" s="1"/>
  <c r="J275" i="8"/>
  <c r="N274" i="8"/>
  <c r="O274" i="8" s="1"/>
  <c r="K274" i="8"/>
  <c r="J274" i="8"/>
  <c r="L274" i="8" s="1"/>
  <c r="M274" i="8" s="1"/>
  <c r="N273" i="8"/>
  <c r="O273" i="8" s="1"/>
  <c r="J273" i="8"/>
  <c r="N272" i="8"/>
  <c r="O272" i="8" s="1"/>
  <c r="J272" i="8"/>
  <c r="N271" i="8"/>
  <c r="O271" i="8" s="1"/>
  <c r="J271" i="8"/>
  <c r="N270" i="8"/>
  <c r="O270" i="8" s="1"/>
  <c r="J270" i="8"/>
  <c r="N269" i="8"/>
  <c r="O269" i="8" s="1"/>
  <c r="J269" i="8"/>
  <c r="N268" i="8"/>
  <c r="O268" i="8" s="1"/>
  <c r="J268" i="8"/>
  <c r="N267" i="8"/>
  <c r="O267" i="8" s="1"/>
  <c r="J267" i="8"/>
  <c r="N266" i="8"/>
  <c r="O266" i="8" s="1"/>
  <c r="J266" i="8"/>
  <c r="N265" i="8"/>
  <c r="O265" i="8" s="1"/>
  <c r="J265" i="8"/>
  <c r="N264" i="8"/>
  <c r="O264" i="8" s="1"/>
  <c r="J264" i="8"/>
  <c r="N263" i="8"/>
  <c r="O263" i="8" s="1"/>
  <c r="J263" i="8"/>
  <c r="N262" i="8"/>
  <c r="O262" i="8" s="1"/>
  <c r="K262" i="8"/>
  <c r="J262" i="8"/>
  <c r="N261" i="8"/>
  <c r="O261" i="8" s="1"/>
  <c r="J261" i="8"/>
  <c r="N260" i="8"/>
  <c r="O260" i="8" s="1"/>
  <c r="J260" i="8"/>
  <c r="N259" i="8"/>
  <c r="O259" i="8" s="1"/>
  <c r="J259" i="8"/>
  <c r="N258" i="8"/>
  <c r="O258" i="8" s="1"/>
  <c r="J258" i="8"/>
  <c r="N257" i="8"/>
  <c r="O257" i="8" s="1"/>
  <c r="J257" i="8"/>
  <c r="N256" i="8"/>
  <c r="O256" i="8" s="1"/>
  <c r="J256" i="8"/>
  <c r="N255" i="8"/>
  <c r="O255" i="8" s="1"/>
  <c r="J255" i="8"/>
  <c r="N254" i="8"/>
  <c r="O254" i="8" s="1"/>
  <c r="J254" i="8"/>
  <c r="N253" i="8"/>
  <c r="O253" i="8" s="1"/>
  <c r="J253" i="8"/>
  <c r="N252" i="8"/>
  <c r="O252" i="8" s="1"/>
  <c r="J252" i="8"/>
  <c r="N251" i="8"/>
  <c r="O251" i="8" s="1"/>
  <c r="J251" i="8"/>
  <c r="N250" i="8"/>
  <c r="O250" i="8" s="1"/>
  <c r="J250" i="8"/>
  <c r="N249" i="8"/>
  <c r="O249" i="8" s="1"/>
  <c r="J249" i="8"/>
  <c r="N248" i="8"/>
  <c r="O248" i="8" s="1"/>
  <c r="J248" i="8"/>
  <c r="N247" i="8"/>
  <c r="O247" i="8" s="1"/>
  <c r="J247" i="8"/>
  <c r="N246" i="8"/>
  <c r="O246" i="8" s="1"/>
  <c r="J246" i="8"/>
  <c r="N245" i="8"/>
  <c r="O245" i="8" s="1"/>
  <c r="J245" i="8"/>
  <c r="N244" i="8"/>
  <c r="O244" i="8" s="1"/>
  <c r="J244" i="8"/>
  <c r="N243" i="8"/>
  <c r="O243" i="8" s="1"/>
  <c r="J243" i="8"/>
  <c r="N242" i="8"/>
  <c r="O242" i="8" s="1"/>
  <c r="J242" i="8"/>
  <c r="N241" i="8"/>
  <c r="O241" i="8" s="1"/>
  <c r="J241" i="8"/>
  <c r="N240" i="8"/>
  <c r="O240" i="8" s="1"/>
  <c r="J240" i="8"/>
  <c r="N239" i="8"/>
  <c r="O239" i="8" s="1"/>
  <c r="J239" i="8"/>
  <c r="N238" i="8"/>
  <c r="O238" i="8" s="1"/>
  <c r="J238" i="8"/>
  <c r="N237" i="8"/>
  <c r="O237" i="8" s="1"/>
  <c r="J237" i="8"/>
  <c r="N236" i="8"/>
  <c r="O236" i="8" s="1"/>
  <c r="J236" i="8"/>
  <c r="N235" i="8"/>
  <c r="O235" i="8" s="1"/>
  <c r="J235" i="8"/>
  <c r="N234" i="8"/>
  <c r="O234" i="8" s="1"/>
  <c r="J234" i="8"/>
  <c r="N233" i="8"/>
  <c r="O233" i="8" s="1"/>
  <c r="J233" i="8"/>
  <c r="O232" i="8"/>
  <c r="N232" i="8"/>
  <c r="J232" i="8"/>
  <c r="N231" i="8"/>
  <c r="O231" i="8" s="1"/>
  <c r="J231" i="8"/>
  <c r="O230" i="8"/>
  <c r="N230" i="8"/>
  <c r="J230" i="8"/>
  <c r="N229" i="8"/>
  <c r="O229" i="8" s="1"/>
  <c r="J229" i="8"/>
  <c r="O228" i="8"/>
  <c r="N228" i="8"/>
  <c r="M228" i="8"/>
  <c r="K228" i="8"/>
  <c r="L228" i="8" s="1"/>
  <c r="J228" i="8"/>
  <c r="N227" i="8"/>
  <c r="O227" i="8" s="1"/>
  <c r="J227" i="8"/>
  <c r="N226" i="8"/>
  <c r="O226" i="8" s="1"/>
  <c r="J226" i="8"/>
  <c r="N225" i="8"/>
  <c r="O225" i="8" s="1"/>
  <c r="J225" i="8"/>
  <c r="N224" i="8"/>
  <c r="O224" i="8" s="1"/>
  <c r="J224" i="8"/>
  <c r="N223" i="8"/>
  <c r="O223" i="8" s="1"/>
  <c r="J223" i="8"/>
  <c r="O222" i="8"/>
  <c r="N222" i="8"/>
  <c r="J222" i="8"/>
  <c r="N221" i="8"/>
  <c r="O221" i="8" s="1"/>
  <c r="J221" i="8"/>
  <c r="N220" i="8"/>
  <c r="O220" i="8" s="1"/>
  <c r="J220" i="8"/>
  <c r="N219" i="8"/>
  <c r="O219" i="8" s="1"/>
  <c r="J219" i="8"/>
  <c r="N218" i="8"/>
  <c r="O218" i="8" s="1"/>
  <c r="J218" i="8"/>
  <c r="N217" i="8"/>
  <c r="O217" i="8" s="1"/>
  <c r="J217" i="8"/>
  <c r="O216" i="8"/>
  <c r="N216" i="8"/>
  <c r="J216" i="8"/>
  <c r="N215" i="8"/>
  <c r="O215" i="8" s="1"/>
  <c r="J215" i="8"/>
  <c r="N214" i="8"/>
  <c r="O214" i="8" s="1"/>
  <c r="J214" i="8"/>
  <c r="N213" i="8"/>
  <c r="O213" i="8" s="1"/>
  <c r="J213" i="8"/>
  <c r="O212" i="8"/>
  <c r="N212" i="8"/>
  <c r="J212" i="8"/>
  <c r="N211" i="8"/>
  <c r="O211" i="8" s="1"/>
  <c r="J211" i="8"/>
  <c r="N210" i="8"/>
  <c r="O210" i="8" s="1"/>
  <c r="J210" i="8"/>
  <c r="N209" i="8"/>
  <c r="O209" i="8" s="1"/>
  <c r="J209" i="8"/>
  <c r="N208" i="8"/>
  <c r="O208" i="8" s="1"/>
  <c r="J208" i="8"/>
  <c r="N207" i="8"/>
  <c r="O207" i="8" s="1"/>
  <c r="J207" i="8"/>
  <c r="N206" i="8"/>
  <c r="O206" i="8" s="1"/>
  <c r="J206" i="8"/>
  <c r="N205" i="8"/>
  <c r="O205" i="8" s="1"/>
  <c r="J205" i="8"/>
  <c r="N204" i="8"/>
  <c r="O204" i="8" s="1"/>
  <c r="J204" i="8"/>
  <c r="N203" i="8"/>
  <c r="O203" i="8" s="1"/>
  <c r="J203" i="8"/>
  <c r="O202" i="8"/>
  <c r="N202" i="8"/>
  <c r="J202" i="8"/>
  <c r="N201" i="8"/>
  <c r="O201" i="8" s="1"/>
  <c r="J201" i="8"/>
  <c r="N200" i="8"/>
  <c r="O200" i="8" s="1"/>
  <c r="J200" i="8"/>
  <c r="N199" i="8"/>
  <c r="O199" i="8" s="1"/>
  <c r="J199" i="8"/>
  <c r="O198" i="8"/>
  <c r="N198" i="8"/>
  <c r="J198" i="8"/>
  <c r="N197" i="8"/>
  <c r="O197" i="8" s="1"/>
  <c r="J197" i="8"/>
  <c r="N196" i="8"/>
  <c r="O196" i="8" s="1"/>
  <c r="J196" i="8"/>
  <c r="N195" i="8"/>
  <c r="O195" i="8" s="1"/>
  <c r="M195" i="8"/>
  <c r="L195" i="8"/>
  <c r="K195" i="8"/>
  <c r="J195" i="8"/>
  <c r="N194" i="8"/>
  <c r="O194" i="8" s="1"/>
  <c r="J194" i="8"/>
  <c r="N193" i="8"/>
  <c r="O193" i="8" s="1"/>
  <c r="J193" i="8"/>
  <c r="O192" i="8"/>
  <c r="N192" i="8"/>
  <c r="J192" i="8"/>
  <c r="N191" i="8"/>
  <c r="O191" i="8" s="1"/>
  <c r="J191" i="8"/>
  <c r="N190" i="8"/>
  <c r="O190" i="8" s="1"/>
  <c r="J190" i="8"/>
  <c r="N189" i="8"/>
  <c r="O189" i="8" s="1"/>
  <c r="J189" i="8"/>
  <c r="O188" i="8"/>
  <c r="N188" i="8"/>
  <c r="J188" i="8"/>
  <c r="N187" i="8"/>
  <c r="O187" i="8" s="1"/>
  <c r="J187" i="8"/>
  <c r="N186" i="8"/>
  <c r="O186" i="8" s="1"/>
  <c r="J186" i="8"/>
  <c r="N185" i="8"/>
  <c r="O185" i="8" s="1"/>
  <c r="L185" i="8"/>
  <c r="M185" i="8" s="1"/>
  <c r="K185" i="8"/>
  <c r="J185" i="8"/>
  <c r="O184" i="8"/>
  <c r="N184" i="8"/>
  <c r="J184" i="8"/>
  <c r="N183" i="8"/>
  <c r="O183" i="8" s="1"/>
  <c r="J183" i="8"/>
  <c r="N182" i="8"/>
  <c r="O182" i="8" s="1"/>
  <c r="J182" i="8"/>
  <c r="N181" i="8"/>
  <c r="O181" i="8" s="1"/>
  <c r="J181" i="8"/>
  <c r="N180" i="8"/>
  <c r="O180" i="8" s="1"/>
  <c r="J180" i="8"/>
  <c r="N179" i="8"/>
  <c r="O179" i="8" s="1"/>
  <c r="J179" i="8"/>
  <c r="O178" i="8"/>
  <c r="N178" i="8"/>
  <c r="L178" i="8"/>
  <c r="M178" i="8" s="1"/>
  <c r="K178" i="8"/>
  <c r="J178" i="8"/>
  <c r="N177" i="8"/>
  <c r="O177" i="8" s="1"/>
  <c r="J177" i="8"/>
  <c r="N176" i="8"/>
  <c r="O176" i="8" s="1"/>
  <c r="J176" i="8"/>
  <c r="N175" i="8"/>
  <c r="O175" i="8" s="1"/>
  <c r="J175" i="8"/>
  <c r="O174" i="8"/>
  <c r="N174" i="8"/>
  <c r="J174" i="8"/>
  <c r="N173" i="8"/>
  <c r="O173" i="8" s="1"/>
  <c r="J173" i="8"/>
  <c r="O172" i="8"/>
  <c r="N172" i="8"/>
  <c r="J172" i="8"/>
  <c r="N171" i="8"/>
  <c r="O171" i="8" s="1"/>
  <c r="J171" i="8"/>
  <c r="N170" i="8"/>
  <c r="O170" i="8" s="1"/>
  <c r="J170" i="8"/>
  <c r="N169" i="8"/>
  <c r="O169" i="8" s="1"/>
  <c r="J169" i="8"/>
  <c r="O168" i="8"/>
  <c r="N168" i="8"/>
  <c r="J168" i="8"/>
  <c r="N167" i="8"/>
  <c r="O167" i="8" s="1"/>
  <c r="J167" i="8"/>
  <c r="N166" i="8"/>
  <c r="O166" i="8" s="1"/>
  <c r="J166" i="8"/>
  <c r="O165" i="8"/>
  <c r="N165" i="8"/>
  <c r="J165" i="8"/>
  <c r="N164" i="8"/>
  <c r="O164" i="8" s="1"/>
  <c r="J164" i="8"/>
  <c r="O163" i="8"/>
  <c r="N163" i="8"/>
  <c r="J163" i="8"/>
  <c r="N162" i="8"/>
  <c r="O162" i="8" s="1"/>
  <c r="J162" i="8"/>
  <c r="O161" i="8"/>
  <c r="N161" i="8"/>
  <c r="J161" i="8"/>
  <c r="N160" i="8"/>
  <c r="O160" i="8" s="1"/>
  <c r="J160" i="8"/>
  <c r="O159" i="8"/>
  <c r="N159" i="8"/>
  <c r="J159" i="8"/>
  <c r="N158" i="8"/>
  <c r="O158" i="8" s="1"/>
  <c r="J158" i="8"/>
  <c r="O157" i="8"/>
  <c r="N157" i="8"/>
  <c r="J157" i="8"/>
  <c r="N156" i="8"/>
  <c r="O156" i="8" s="1"/>
  <c r="J156" i="8"/>
  <c r="O155" i="8"/>
  <c r="N155" i="8"/>
  <c r="J155" i="8"/>
  <c r="N154" i="8"/>
  <c r="O154" i="8" s="1"/>
  <c r="J154" i="8"/>
  <c r="O153" i="8"/>
  <c r="N153" i="8"/>
  <c r="J153" i="8"/>
  <c r="N152" i="8"/>
  <c r="O152" i="8" s="1"/>
  <c r="J152" i="8"/>
  <c r="O151" i="8"/>
  <c r="N151" i="8"/>
  <c r="J151" i="8"/>
  <c r="N150" i="8"/>
  <c r="O150" i="8" s="1"/>
  <c r="J150" i="8"/>
  <c r="O149" i="8"/>
  <c r="N149" i="8"/>
  <c r="J149" i="8"/>
  <c r="N148" i="8"/>
  <c r="O148" i="8" s="1"/>
  <c r="J148" i="8"/>
  <c r="O147" i="8"/>
  <c r="N147" i="8"/>
  <c r="J147" i="8"/>
  <c r="N146" i="8"/>
  <c r="O146" i="8" s="1"/>
  <c r="J146" i="8"/>
  <c r="O145" i="8"/>
  <c r="N145" i="8"/>
  <c r="J145" i="8"/>
  <c r="N144" i="8"/>
  <c r="O144" i="8" s="1"/>
  <c r="J144" i="8"/>
  <c r="O143" i="8"/>
  <c r="N143" i="8"/>
  <c r="J143" i="8"/>
  <c r="N142" i="8"/>
  <c r="O142" i="8" s="1"/>
  <c r="J142" i="8"/>
  <c r="O141" i="8"/>
  <c r="N141" i="8"/>
  <c r="J141" i="8"/>
  <c r="N140" i="8"/>
  <c r="O140" i="8" s="1"/>
  <c r="J140" i="8"/>
  <c r="O139" i="8"/>
  <c r="N139" i="8"/>
  <c r="J139" i="8"/>
  <c r="N138" i="8"/>
  <c r="O138" i="8" s="1"/>
  <c r="J138" i="8"/>
  <c r="O137" i="8"/>
  <c r="N137" i="8"/>
  <c r="J137" i="8"/>
  <c r="N136" i="8"/>
  <c r="O136" i="8" s="1"/>
  <c r="J136" i="8"/>
  <c r="O135" i="8"/>
  <c r="N135" i="8"/>
  <c r="J135" i="8"/>
  <c r="N134" i="8"/>
  <c r="O134" i="8" s="1"/>
  <c r="J134" i="8"/>
  <c r="O133" i="8"/>
  <c r="N133" i="8"/>
  <c r="J133" i="8"/>
  <c r="N132" i="8"/>
  <c r="O132" i="8" s="1"/>
  <c r="J132" i="8"/>
  <c r="N131" i="8"/>
  <c r="O131" i="8" s="1"/>
  <c r="K131" i="8"/>
  <c r="L131" i="8" s="1"/>
  <c r="J131" i="8"/>
  <c r="N130" i="8"/>
  <c r="O130" i="8" s="1"/>
  <c r="J130" i="8"/>
  <c r="O129" i="8"/>
  <c r="N129" i="8"/>
  <c r="J129" i="8"/>
  <c r="O128" i="8"/>
  <c r="N128" i="8"/>
  <c r="J128" i="8"/>
  <c r="O127" i="8"/>
  <c r="N127" i="8"/>
  <c r="J127" i="8"/>
  <c r="O126" i="8"/>
  <c r="N126" i="8"/>
  <c r="J126" i="8"/>
  <c r="N125" i="8"/>
  <c r="O125" i="8" s="1"/>
  <c r="J125" i="8"/>
  <c r="N124" i="8"/>
  <c r="O124" i="8" s="1"/>
  <c r="J124" i="8"/>
  <c r="N123" i="8"/>
  <c r="O123" i="8" s="1"/>
  <c r="J123" i="8"/>
  <c r="N122" i="8"/>
  <c r="O122" i="8" s="1"/>
  <c r="J122" i="8"/>
  <c r="N121" i="8"/>
  <c r="O121" i="8" s="1"/>
  <c r="J121" i="8"/>
  <c r="N120" i="8"/>
  <c r="O120" i="8" s="1"/>
  <c r="J120" i="8"/>
  <c r="N119" i="8"/>
  <c r="O119" i="8" s="1"/>
  <c r="J119" i="8"/>
  <c r="N118" i="8"/>
  <c r="O118" i="8" s="1"/>
  <c r="J118" i="8"/>
  <c r="O117" i="8"/>
  <c r="N117" i="8"/>
  <c r="J117" i="8"/>
  <c r="O116" i="8"/>
  <c r="N116" i="8"/>
  <c r="J116" i="8"/>
  <c r="O115" i="8"/>
  <c r="N115" i="8"/>
  <c r="J115" i="8"/>
  <c r="O114" i="8"/>
  <c r="N114" i="8"/>
  <c r="J114" i="8"/>
  <c r="N113" i="8"/>
  <c r="O113" i="8" s="1"/>
  <c r="J113" i="8"/>
  <c r="N112" i="8"/>
  <c r="O112" i="8" s="1"/>
  <c r="J112" i="8"/>
  <c r="N111" i="8"/>
  <c r="O111" i="8" s="1"/>
  <c r="J111" i="8"/>
  <c r="N110" i="8"/>
  <c r="O110" i="8" s="1"/>
  <c r="J110" i="8"/>
  <c r="N109" i="8"/>
  <c r="O109" i="8" s="1"/>
  <c r="J109" i="8"/>
  <c r="N108" i="8"/>
  <c r="O108" i="8" s="1"/>
  <c r="J108" i="8"/>
  <c r="N107" i="8"/>
  <c r="O107" i="8" s="1"/>
  <c r="J107" i="8"/>
  <c r="N106" i="8"/>
  <c r="O106" i="8" s="1"/>
  <c r="J106" i="8"/>
  <c r="O105" i="8"/>
  <c r="N105" i="8"/>
  <c r="J105" i="8"/>
  <c r="O104" i="8"/>
  <c r="N104" i="8"/>
  <c r="K104" i="8"/>
  <c r="L104" i="8" s="1"/>
  <c r="M104" i="8" s="1"/>
  <c r="J104" i="8"/>
  <c r="O103" i="8"/>
  <c r="N103" i="8"/>
  <c r="L103" i="8"/>
  <c r="M103" i="8" s="1"/>
  <c r="K103" i="8"/>
  <c r="J103" i="8"/>
  <c r="O102" i="8"/>
  <c r="N102" i="8"/>
  <c r="J102" i="8"/>
  <c r="N101" i="8"/>
  <c r="O101" i="8" s="1"/>
  <c r="J101" i="8"/>
  <c r="N100" i="8"/>
  <c r="O100" i="8" s="1"/>
  <c r="J100" i="8"/>
  <c r="N99" i="8"/>
  <c r="O99" i="8" s="1"/>
  <c r="J99" i="8"/>
  <c r="N98" i="8"/>
  <c r="O98" i="8" s="1"/>
  <c r="J98" i="8"/>
  <c r="N97" i="8"/>
  <c r="O97" i="8" s="1"/>
  <c r="J97" i="8"/>
  <c r="N96" i="8"/>
  <c r="O96" i="8" s="1"/>
  <c r="J96" i="8"/>
  <c r="N95" i="8"/>
  <c r="O95" i="8" s="1"/>
  <c r="J95" i="8"/>
  <c r="N94" i="8"/>
  <c r="O94" i="8" s="1"/>
  <c r="J94" i="8"/>
  <c r="O93" i="8"/>
  <c r="N93" i="8"/>
  <c r="J93" i="8"/>
  <c r="O92" i="8"/>
  <c r="N92" i="8"/>
  <c r="J92" i="8"/>
  <c r="O91" i="8"/>
  <c r="N91" i="8"/>
  <c r="J91" i="8"/>
  <c r="O90" i="8"/>
  <c r="N90" i="8"/>
  <c r="J90" i="8"/>
  <c r="N89" i="8"/>
  <c r="O89" i="8" s="1"/>
  <c r="J89" i="8"/>
  <c r="N88" i="8"/>
  <c r="O88" i="8" s="1"/>
  <c r="J88" i="8"/>
  <c r="N87" i="8"/>
  <c r="O87" i="8" s="1"/>
  <c r="J87" i="8"/>
  <c r="N86" i="8"/>
  <c r="O86" i="8" s="1"/>
  <c r="J86" i="8"/>
  <c r="N85" i="8"/>
  <c r="O85" i="8" s="1"/>
  <c r="J85" i="8"/>
  <c r="N84" i="8"/>
  <c r="O84" i="8" s="1"/>
  <c r="J84" i="8"/>
  <c r="N83" i="8"/>
  <c r="O83" i="8" s="1"/>
  <c r="J83" i="8"/>
  <c r="N82" i="8"/>
  <c r="O82" i="8" s="1"/>
  <c r="J82" i="8"/>
  <c r="O81" i="8"/>
  <c r="N81" i="8"/>
  <c r="J81" i="8"/>
  <c r="O80" i="8"/>
  <c r="N80" i="8"/>
  <c r="J80" i="8"/>
  <c r="O79" i="8"/>
  <c r="N79" i="8"/>
  <c r="L79" i="8"/>
  <c r="M79" i="8" s="1"/>
  <c r="K79" i="8"/>
  <c r="J79" i="8"/>
  <c r="O78" i="8"/>
  <c r="N78" i="8"/>
  <c r="J78" i="8"/>
  <c r="N77" i="8"/>
  <c r="O77" i="8" s="1"/>
  <c r="J77" i="8"/>
  <c r="N76" i="8"/>
  <c r="O76" i="8" s="1"/>
  <c r="J76" i="8"/>
  <c r="N75" i="8"/>
  <c r="O75" i="8" s="1"/>
  <c r="J75" i="8"/>
  <c r="N74" i="8"/>
  <c r="O74" i="8" s="1"/>
  <c r="J74" i="8"/>
  <c r="N73" i="8"/>
  <c r="O73" i="8" s="1"/>
  <c r="J73" i="8"/>
  <c r="O72" i="8"/>
  <c r="N72" i="8"/>
  <c r="J72" i="8"/>
  <c r="O71" i="8"/>
  <c r="N71" i="8"/>
  <c r="J71" i="8"/>
  <c r="N70" i="8"/>
  <c r="O70" i="8" s="1"/>
  <c r="J70" i="8"/>
  <c r="N69" i="8"/>
  <c r="O69" i="8" s="1"/>
  <c r="J69" i="8"/>
  <c r="O68" i="8"/>
  <c r="N68" i="8"/>
  <c r="J68" i="8"/>
  <c r="O67" i="8"/>
  <c r="N67" i="8"/>
  <c r="J67" i="8"/>
  <c r="N66" i="8"/>
  <c r="O66" i="8" s="1"/>
  <c r="J66" i="8"/>
  <c r="N65" i="8"/>
  <c r="O65" i="8" s="1"/>
  <c r="J65" i="8"/>
  <c r="N64" i="8"/>
  <c r="O64" i="8" s="1"/>
  <c r="J64" i="8"/>
  <c r="N63" i="8"/>
  <c r="O63" i="8" s="1"/>
  <c r="J63" i="8"/>
  <c r="N62" i="8"/>
  <c r="O62" i="8" s="1"/>
  <c r="J62" i="8"/>
  <c r="O61" i="8"/>
  <c r="N61" i="8"/>
  <c r="J61" i="8"/>
  <c r="N60" i="8"/>
  <c r="O60" i="8" s="1"/>
  <c r="J60" i="8"/>
  <c r="N59" i="8"/>
  <c r="O59" i="8" s="1"/>
  <c r="J59" i="8"/>
  <c r="O58" i="8"/>
  <c r="N58" i="8"/>
  <c r="J58" i="8"/>
  <c r="O57" i="8"/>
  <c r="N57" i="8"/>
  <c r="K57" i="8"/>
  <c r="L57" i="8" s="1"/>
  <c r="M57" i="8" s="1"/>
  <c r="J57" i="8"/>
  <c r="N56" i="8"/>
  <c r="O56" i="8" s="1"/>
  <c r="J56" i="8"/>
  <c r="N55" i="8"/>
  <c r="O55" i="8" s="1"/>
  <c r="J55" i="8"/>
  <c r="O54" i="8"/>
  <c r="N54" i="8"/>
  <c r="J54" i="8"/>
  <c r="N53" i="8"/>
  <c r="O53" i="8" s="1"/>
  <c r="J53" i="8"/>
  <c r="N52" i="8"/>
  <c r="O52" i="8" s="1"/>
  <c r="J52" i="8"/>
  <c r="N51" i="8"/>
  <c r="O51" i="8" s="1"/>
  <c r="J51" i="8"/>
  <c r="N50" i="8"/>
  <c r="O50" i="8" s="1"/>
  <c r="J50" i="8"/>
  <c r="N49" i="8"/>
  <c r="O49" i="8" s="1"/>
  <c r="J49" i="8"/>
  <c r="O48" i="8"/>
  <c r="N48" i="8"/>
  <c r="J48" i="8"/>
  <c r="O47" i="8"/>
  <c r="N47" i="8"/>
  <c r="J47" i="8"/>
  <c r="N46" i="8"/>
  <c r="O46" i="8" s="1"/>
  <c r="J46" i="8"/>
  <c r="O45" i="8"/>
  <c r="N45" i="8"/>
  <c r="K45" i="8"/>
  <c r="L45" i="8" s="1"/>
  <c r="M45" i="8" s="1"/>
  <c r="J45" i="8"/>
  <c r="N44" i="8"/>
  <c r="O44" i="8" s="1"/>
  <c r="J44" i="8"/>
  <c r="O43" i="8"/>
  <c r="N43" i="8"/>
  <c r="J43" i="8"/>
  <c r="N42" i="8"/>
  <c r="O42" i="8" s="1"/>
  <c r="J42" i="8"/>
  <c r="O41" i="8"/>
  <c r="N41" i="8"/>
  <c r="K41" i="8"/>
  <c r="L41" i="8" s="1"/>
  <c r="M41" i="8" s="1"/>
  <c r="J41" i="8"/>
  <c r="N40" i="8"/>
  <c r="O40" i="8" s="1"/>
  <c r="J40" i="8"/>
  <c r="O39" i="8"/>
  <c r="N39" i="8"/>
  <c r="J39" i="8"/>
  <c r="N38" i="8"/>
  <c r="O38" i="8" s="1"/>
  <c r="J38" i="8"/>
  <c r="O37" i="8"/>
  <c r="N37" i="8"/>
  <c r="J37" i="8"/>
  <c r="N36" i="8"/>
  <c r="O36" i="8" s="1"/>
  <c r="J36" i="8"/>
  <c r="O35" i="8"/>
  <c r="N35" i="8"/>
  <c r="J35" i="8"/>
  <c r="N34" i="8"/>
  <c r="O34" i="8" s="1"/>
  <c r="J34" i="8"/>
  <c r="O33" i="8"/>
  <c r="N33" i="8"/>
  <c r="J33" i="8"/>
  <c r="N32" i="8"/>
  <c r="O32" i="8" s="1"/>
  <c r="J32" i="8"/>
  <c r="O31" i="8"/>
  <c r="N31" i="8"/>
  <c r="J31" i="8"/>
  <c r="N30" i="8"/>
  <c r="O30" i="8" s="1"/>
  <c r="J30" i="8"/>
  <c r="O29" i="8"/>
  <c r="N29" i="8"/>
  <c r="J29" i="8"/>
  <c r="N28" i="8"/>
  <c r="O28" i="8" s="1"/>
  <c r="J28" i="8"/>
  <c r="O27" i="8"/>
  <c r="N27" i="8"/>
  <c r="J27" i="8"/>
  <c r="N26" i="8"/>
  <c r="O26" i="8" s="1"/>
  <c r="J26" i="8"/>
  <c r="O25" i="8"/>
  <c r="N25" i="8"/>
  <c r="J25" i="8"/>
  <c r="N24" i="8"/>
  <c r="O24" i="8" s="1"/>
  <c r="J24" i="8"/>
  <c r="O23" i="8"/>
  <c r="N23" i="8"/>
  <c r="J23" i="8"/>
  <c r="N22" i="8"/>
  <c r="O22" i="8" s="1"/>
  <c r="J22" i="8"/>
  <c r="O21" i="8"/>
  <c r="N21" i="8"/>
  <c r="J21" i="8"/>
  <c r="N20" i="8"/>
  <c r="O20" i="8" s="1"/>
  <c r="J20" i="8"/>
  <c r="O19" i="8"/>
  <c r="N19" i="8"/>
  <c r="J19" i="8"/>
  <c r="N18" i="8"/>
  <c r="O18" i="8" s="1"/>
  <c r="J18" i="8"/>
  <c r="O17" i="8"/>
  <c r="N17" i="8"/>
  <c r="J17" i="8"/>
  <c r="N16" i="8"/>
  <c r="O16" i="8" s="1"/>
  <c r="J16" i="8"/>
  <c r="O15" i="8"/>
  <c r="N15" i="8"/>
  <c r="J15" i="8"/>
  <c r="N14" i="8"/>
  <c r="O14" i="8" s="1"/>
  <c r="J14" i="8"/>
  <c r="O13" i="8"/>
  <c r="N13" i="8"/>
  <c r="J13" i="8"/>
  <c r="N12" i="8"/>
  <c r="O12" i="8" s="1"/>
  <c r="J12" i="8"/>
  <c r="O11" i="8"/>
  <c r="N11" i="8"/>
  <c r="J11" i="8"/>
  <c r="N10" i="8"/>
  <c r="O10" i="8" s="1"/>
  <c r="J10" i="8"/>
  <c r="O9" i="8"/>
  <c r="N9" i="8"/>
  <c r="J9" i="8"/>
  <c r="N8" i="8"/>
  <c r="O8" i="8" s="1"/>
  <c r="J8" i="8"/>
  <c r="O7" i="8"/>
  <c r="N7" i="8"/>
  <c r="J7" i="8"/>
  <c r="N6" i="8"/>
  <c r="O6" i="8" s="1"/>
  <c r="J6" i="8"/>
  <c r="O5" i="8"/>
  <c r="N5" i="8"/>
  <c r="J5" i="8"/>
  <c r="AM20" i="7"/>
  <c r="AL20" i="7"/>
  <c r="AK20" i="7"/>
  <c r="AJ20" i="7"/>
  <c r="AI20" i="7"/>
  <c r="AH20" i="7"/>
  <c r="AG20" i="7"/>
  <c r="AF20" i="7"/>
  <c r="AE20" i="7"/>
  <c r="AD20" i="7"/>
  <c r="AC20" i="7"/>
  <c r="AB20" i="7"/>
  <c r="AA20" i="7"/>
  <c r="Z20" i="7"/>
  <c r="Y20" i="7"/>
  <c r="X20" i="7"/>
  <c r="W20" i="7"/>
  <c r="V20" i="7"/>
  <c r="U20" i="7"/>
  <c r="T20" i="7"/>
  <c r="S20" i="7"/>
  <c r="R20" i="7"/>
  <c r="Q20" i="7"/>
  <c r="P20" i="7"/>
  <c r="O20" i="7"/>
  <c r="N20" i="7"/>
  <c r="AM19" i="7"/>
  <c r="AL19" i="7"/>
  <c r="AK19" i="7"/>
  <c r="AJ19" i="7"/>
  <c r="AI19" i="7"/>
  <c r="AH19" i="7"/>
  <c r="AG19" i="7"/>
  <c r="AF19" i="7"/>
  <c r="AE19" i="7"/>
  <c r="AD19" i="7"/>
  <c r="AC19" i="7"/>
  <c r="AB19" i="7"/>
  <c r="AA19" i="7"/>
  <c r="Z19" i="7"/>
  <c r="Y19" i="7"/>
  <c r="X19" i="7"/>
  <c r="W19" i="7"/>
  <c r="V19" i="7"/>
  <c r="U19" i="7"/>
  <c r="T19" i="7"/>
  <c r="S19" i="7"/>
  <c r="R19" i="7"/>
  <c r="Q19" i="7"/>
  <c r="P19" i="7"/>
  <c r="O19" i="7"/>
  <c r="N19" i="7"/>
  <c r="AM18" i="7"/>
  <c r="AL18" i="7"/>
  <c r="AK18" i="7"/>
  <c r="AJ18" i="7"/>
  <c r="AI18" i="7"/>
  <c r="AH18" i="7"/>
  <c r="AG18" i="7"/>
  <c r="AF18" i="7"/>
  <c r="AE18" i="7"/>
  <c r="AD18" i="7"/>
  <c r="AC18" i="7"/>
  <c r="AB18" i="7"/>
  <c r="AA18" i="7"/>
  <c r="Z18" i="7"/>
  <c r="Y18" i="7"/>
  <c r="X18" i="7"/>
  <c r="W18" i="7"/>
  <c r="V18" i="7"/>
  <c r="U18" i="7"/>
  <c r="T18" i="7"/>
  <c r="S18" i="7"/>
  <c r="R18" i="7"/>
  <c r="Q18" i="7"/>
  <c r="P18" i="7"/>
  <c r="O18" i="7"/>
  <c r="N18" i="7"/>
  <c r="AC17" i="7"/>
  <c r="AB17" i="7"/>
  <c r="V17" i="7"/>
  <c r="U17" i="7"/>
  <c r="T17" i="7"/>
  <c r="S17" i="7"/>
  <c r="Q17" i="7"/>
  <c r="P17" i="7"/>
  <c r="R17" i="7" s="1"/>
  <c r="AE17" i="7" s="1"/>
  <c r="N17" i="7"/>
  <c r="AC16" i="7"/>
  <c r="AB16" i="7"/>
  <c r="U16" i="7"/>
  <c r="S16" i="7"/>
  <c r="T16" i="7" s="1"/>
  <c r="Q16" i="7"/>
  <c r="O16" i="7"/>
  <c r="N16" i="7"/>
  <c r="AF16" i="7" s="1"/>
  <c r="AF15" i="7"/>
  <c r="AB15" i="7"/>
  <c r="AC15" i="7" s="1"/>
  <c r="U15" i="7"/>
  <c r="T15" i="7"/>
  <c r="S15" i="7"/>
  <c r="N15" i="7"/>
  <c r="Q15" i="7" s="1"/>
  <c r="AB14" i="7"/>
  <c r="AC14" i="7" s="1"/>
  <c r="V14" i="7"/>
  <c r="U14" i="7"/>
  <c r="T14" i="7"/>
  <c r="S14" i="7"/>
  <c r="P14" i="7"/>
  <c r="R14" i="7" s="1"/>
  <c r="AE14" i="7" s="1"/>
  <c r="N14" i="7"/>
  <c r="AF14" i="7" s="1"/>
  <c r="W13" i="7"/>
  <c r="U13" i="7"/>
  <c r="S13" i="7"/>
  <c r="T13" i="7" s="1"/>
  <c r="Q13" i="7"/>
  <c r="P13" i="7"/>
  <c r="R13" i="7" s="1"/>
  <c r="AE13" i="7" s="1"/>
  <c r="N13" i="7"/>
  <c r="AB12" i="7"/>
  <c r="AC12" i="7" s="1"/>
  <c r="AD12" i="7" s="1"/>
  <c r="U12" i="7"/>
  <c r="T12" i="7"/>
  <c r="S12" i="7"/>
  <c r="O12" i="7"/>
  <c r="N12" i="7"/>
  <c r="AF11" i="7"/>
  <c r="AC11" i="7"/>
  <c r="AB11" i="7"/>
  <c r="U11" i="7"/>
  <c r="T11" i="7"/>
  <c r="S11" i="7"/>
  <c r="Q11" i="7"/>
  <c r="O11" i="7"/>
  <c r="N11" i="7"/>
  <c r="AE10" i="7"/>
  <c r="AC10" i="7"/>
  <c r="AB10" i="7"/>
  <c r="O10" i="7" s="1"/>
  <c r="W10" i="7"/>
  <c r="U10" i="7"/>
  <c r="S10" i="7"/>
  <c r="T10" i="7" s="1"/>
  <c r="R10" i="7"/>
  <c r="Q10" i="7"/>
  <c r="P10" i="7"/>
  <c r="N10" i="7"/>
  <c r="AF9" i="7"/>
  <c r="AB9" i="7"/>
  <c r="AC9" i="7" s="1"/>
  <c r="U9" i="7"/>
  <c r="T9" i="7"/>
  <c r="AD9" i="7" s="1"/>
  <c r="S9" i="7"/>
  <c r="N9" i="7"/>
  <c r="Q9" i="7" s="1"/>
  <c r="AB8" i="7"/>
  <c r="AC8" i="7" s="1"/>
  <c r="V8" i="7"/>
  <c r="U8" i="7"/>
  <c r="T8" i="7"/>
  <c r="AD8" i="7" s="1"/>
  <c r="S8" i="7"/>
  <c r="N8" i="7"/>
  <c r="AF8" i="7" s="1"/>
  <c r="AB7" i="7"/>
  <c r="U7" i="7"/>
  <c r="S7" i="7"/>
  <c r="T7" i="7" s="1"/>
  <c r="Q7" i="7"/>
  <c r="O7" i="7"/>
  <c r="N7" i="7"/>
  <c r="AF7" i="7" s="1"/>
  <c r="AB6" i="7"/>
  <c r="AC6" i="7" s="1"/>
  <c r="AD6" i="7" s="1"/>
  <c r="U6" i="7"/>
  <c r="T6" i="7"/>
  <c r="S6" i="7"/>
  <c r="Q6" i="7"/>
  <c r="O6" i="7"/>
  <c r="N6" i="7"/>
  <c r="V526" i="6"/>
  <c r="T526" i="6"/>
  <c r="N526" i="6"/>
  <c r="M526" i="6"/>
  <c r="L526" i="6"/>
  <c r="K526" i="6"/>
  <c r="J526" i="6"/>
  <c r="Q526" i="6" s="1"/>
  <c r="V525" i="6"/>
  <c r="T525" i="6"/>
  <c r="N525" i="6"/>
  <c r="W525" i="6" s="1"/>
  <c r="L525" i="6"/>
  <c r="K525" i="6"/>
  <c r="J525" i="6"/>
  <c r="Q525" i="6" s="1"/>
  <c r="V524" i="6"/>
  <c r="T524" i="6"/>
  <c r="Q524" i="6"/>
  <c r="N524" i="6"/>
  <c r="L524" i="6"/>
  <c r="K524" i="6"/>
  <c r="J524" i="6"/>
  <c r="V523" i="6"/>
  <c r="U523" i="6"/>
  <c r="N523" i="6"/>
  <c r="W523" i="6" s="1"/>
  <c r="J523" i="6"/>
  <c r="V522" i="6"/>
  <c r="U522" i="6"/>
  <c r="Q522" i="6"/>
  <c r="N522" i="6"/>
  <c r="J522" i="6"/>
  <c r="V521" i="6"/>
  <c r="U521" i="6"/>
  <c r="Q521" i="6"/>
  <c r="N521" i="6"/>
  <c r="K521" i="6"/>
  <c r="J521" i="6"/>
  <c r="V520" i="6"/>
  <c r="U520" i="6"/>
  <c r="N520" i="6"/>
  <c r="W520" i="6" s="1"/>
  <c r="J520" i="6"/>
  <c r="K520" i="6" s="1"/>
  <c r="V519" i="6"/>
  <c r="U519" i="6"/>
  <c r="Q519" i="6"/>
  <c r="R519" i="6" s="1"/>
  <c r="N519" i="6"/>
  <c r="W519" i="6" s="1"/>
  <c r="J519" i="6"/>
  <c r="K519" i="6" s="1"/>
  <c r="V518" i="6"/>
  <c r="U518" i="6"/>
  <c r="N518" i="6"/>
  <c r="W518" i="6" s="1"/>
  <c r="J518" i="6"/>
  <c r="V517" i="6"/>
  <c r="U517" i="6"/>
  <c r="N517" i="6"/>
  <c r="J517" i="6"/>
  <c r="V516" i="6"/>
  <c r="U516" i="6"/>
  <c r="N516" i="6"/>
  <c r="W516" i="6" s="1"/>
  <c r="J516" i="6"/>
  <c r="V515" i="6"/>
  <c r="U515" i="6"/>
  <c r="N515" i="6"/>
  <c r="K515" i="6"/>
  <c r="J515" i="6"/>
  <c r="Q515" i="6" s="1"/>
  <c r="V514" i="6"/>
  <c r="U514" i="6"/>
  <c r="N514" i="6"/>
  <c r="J514" i="6"/>
  <c r="V513" i="6"/>
  <c r="U513" i="6"/>
  <c r="Q513" i="6"/>
  <c r="R513" i="6" s="1"/>
  <c r="N513" i="6"/>
  <c r="W513" i="6" s="1"/>
  <c r="J513" i="6"/>
  <c r="K513" i="6" s="1"/>
  <c r="V512" i="6"/>
  <c r="U512" i="6"/>
  <c r="N512" i="6"/>
  <c r="W512" i="6" s="1"/>
  <c r="J512" i="6"/>
  <c r="V511" i="6"/>
  <c r="U511" i="6"/>
  <c r="N511" i="6"/>
  <c r="J511" i="6"/>
  <c r="W510" i="6"/>
  <c r="V510" i="6"/>
  <c r="U510" i="6"/>
  <c r="N510" i="6"/>
  <c r="J510" i="6"/>
  <c r="W509" i="6"/>
  <c r="V509" i="6"/>
  <c r="U509" i="6"/>
  <c r="N509" i="6"/>
  <c r="K509" i="6"/>
  <c r="J509" i="6"/>
  <c r="Q509" i="6" s="1"/>
  <c r="V508" i="6"/>
  <c r="U508" i="6"/>
  <c r="N508" i="6"/>
  <c r="J508" i="6"/>
  <c r="V507" i="6"/>
  <c r="U507" i="6"/>
  <c r="Q507" i="6"/>
  <c r="R507" i="6" s="1"/>
  <c r="N507" i="6"/>
  <c r="W507" i="6" s="1"/>
  <c r="J507" i="6"/>
  <c r="K507" i="6" s="1"/>
  <c r="V506" i="6"/>
  <c r="U506" i="6"/>
  <c r="N506" i="6"/>
  <c r="W506" i="6" s="1"/>
  <c r="J506" i="6"/>
  <c r="V505" i="6"/>
  <c r="U505" i="6"/>
  <c r="N505" i="6"/>
  <c r="W505" i="6" s="1"/>
  <c r="J505" i="6"/>
  <c r="V504" i="6"/>
  <c r="U504" i="6"/>
  <c r="N504" i="6"/>
  <c r="W504" i="6" s="1"/>
  <c r="J504" i="6"/>
  <c r="W503" i="6"/>
  <c r="V503" i="6"/>
  <c r="U503" i="6"/>
  <c r="N503" i="6"/>
  <c r="K503" i="6"/>
  <c r="J503" i="6"/>
  <c r="Q503" i="6" s="1"/>
  <c r="V502" i="6"/>
  <c r="U502" i="6"/>
  <c r="N502" i="6"/>
  <c r="W502" i="6" s="1"/>
  <c r="J502" i="6"/>
  <c r="V501" i="6"/>
  <c r="U501" i="6"/>
  <c r="R501" i="6"/>
  <c r="Q501" i="6"/>
  <c r="N501" i="6"/>
  <c r="W501" i="6" s="1"/>
  <c r="J501" i="6"/>
  <c r="K501" i="6" s="1"/>
  <c r="V500" i="6"/>
  <c r="U500" i="6"/>
  <c r="N500" i="6"/>
  <c r="W500" i="6" s="1"/>
  <c r="J500" i="6"/>
  <c r="V499" i="6"/>
  <c r="U499" i="6"/>
  <c r="N499" i="6"/>
  <c r="W499" i="6" s="1"/>
  <c r="J499" i="6"/>
  <c r="V498" i="6"/>
  <c r="U498" i="6"/>
  <c r="N498" i="6"/>
  <c r="W498" i="6" s="1"/>
  <c r="J498" i="6"/>
  <c r="V497" i="6"/>
  <c r="U497" i="6"/>
  <c r="N497" i="6"/>
  <c r="K497" i="6"/>
  <c r="J497" i="6"/>
  <c r="Q497" i="6" s="1"/>
  <c r="V496" i="6"/>
  <c r="U496" i="6"/>
  <c r="N496" i="6"/>
  <c r="J496" i="6"/>
  <c r="V495" i="6"/>
  <c r="U495" i="6"/>
  <c r="R495" i="6"/>
  <c r="Q495" i="6"/>
  <c r="N495" i="6"/>
  <c r="W495" i="6" s="1"/>
  <c r="J495" i="6"/>
  <c r="K495" i="6" s="1"/>
  <c r="V494" i="6"/>
  <c r="U494" i="6"/>
  <c r="R494" i="6"/>
  <c r="Q494" i="6"/>
  <c r="N494" i="6"/>
  <c r="W494" i="6" s="1"/>
  <c r="J494" i="6"/>
  <c r="V493" i="6"/>
  <c r="U493" i="6"/>
  <c r="N493" i="6"/>
  <c r="W493" i="6" s="1"/>
  <c r="J493" i="6"/>
  <c r="W492" i="6"/>
  <c r="V492" i="6"/>
  <c r="U492" i="6"/>
  <c r="N492" i="6"/>
  <c r="J492" i="6"/>
  <c r="W491" i="6"/>
  <c r="V491" i="6"/>
  <c r="U491" i="6"/>
  <c r="N491" i="6"/>
  <c r="R491" i="6" s="1"/>
  <c r="K491" i="6"/>
  <c r="J491" i="6"/>
  <c r="Q491" i="6" s="1"/>
  <c r="V490" i="6"/>
  <c r="U490" i="6"/>
  <c r="N490" i="6"/>
  <c r="W490" i="6" s="1"/>
  <c r="J490" i="6"/>
  <c r="V489" i="6"/>
  <c r="U489" i="6"/>
  <c r="Q489" i="6"/>
  <c r="R489" i="6" s="1"/>
  <c r="N489" i="6"/>
  <c r="W489" i="6" s="1"/>
  <c r="J489" i="6"/>
  <c r="K489" i="6" s="1"/>
  <c r="V488" i="6"/>
  <c r="U488" i="6"/>
  <c r="N488" i="6"/>
  <c r="J488" i="6"/>
  <c r="V487" i="6"/>
  <c r="U487" i="6"/>
  <c r="N487" i="6"/>
  <c r="W487" i="6" s="1"/>
  <c r="J487" i="6"/>
  <c r="V486" i="6"/>
  <c r="U486" i="6"/>
  <c r="N486" i="6"/>
  <c r="K486" i="6"/>
  <c r="J486" i="6"/>
  <c r="V485" i="6"/>
  <c r="U485" i="6"/>
  <c r="N485" i="6"/>
  <c r="K485" i="6"/>
  <c r="J485" i="6"/>
  <c r="Q485" i="6" s="1"/>
  <c r="V484" i="6"/>
  <c r="U484" i="6"/>
  <c r="N484" i="6"/>
  <c r="W484" i="6" s="1"/>
  <c r="J484" i="6"/>
  <c r="V483" i="6"/>
  <c r="U483" i="6"/>
  <c r="R483" i="6"/>
  <c r="Q483" i="6"/>
  <c r="N483" i="6"/>
  <c r="W483" i="6" s="1"/>
  <c r="J483" i="6"/>
  <c r="K483" i="6" s="1"/>
  <c r="V482" i="6"/>
  <c r="U482" i="6"/>
  <c r="N482" i="6"/>
  <c r="W482" i="6" s="1"/>
  <c r="J482" i="6"/>
  <c r="K482" i="6" s="1"/>
  <c r="V481" i="6"/>
  <c r="U481" i="6"/>
  <c r="N481" i="6"/>
  <c r="W481" i="6" s="1"/>
  <c r="J481" i="6"/>
  <c r="V480" i="6"/>
  <c r="U480" i="6"/>
  <c r="N480" i="6"/>
  <c r="K480" i="6"/>
  <c r="J480" i="6"/>
  <c r="W479" i="6"/>
  <c r="V479" i="6"/>
  <c r="U479" i="6"/>
  <c r="N479" i="6"/>
  <c r="J479" i="6"/>
  <c r="V478" i="6"/>
  <c r="U478" i="6"/>
  <c r="N478" i="6"/>
  <c r="W478" i="6" s="1"/>
  <c r="J478" i="6"/>
  <c r="V477" i="6"/>
  <c r="U477" i="6"/>
  <c r="R477" i="6"/>
  <c r="Q477" i="6"/>
  <c r="N477" i="6"/>
  <c r="W477" i="6" s="1"/>
  <c r="J477" i="6"/>
  <c r="K477" i="6" s="1"/>
  <c r="V476" i="6"/>
  <c r="U476" i="6"/>
  <c r="Q476" i="6"/>
  <c r="N476" i="6"/>
  <c r="W476" i="6" s="1"/>
  <c r="J476" i="6"/>
  <c r="K476" i="6" s="1"/>
  <c r="V475" i="6"/>
  <c r="U475" i="6"/>
  <c r="N475" i="6"/>
  <c r="J475" i="6"/>
  <c r="W474" i="6"/>
  <c r="V474" i="6"/>
  <c r="U474" i="6"/>
  <c r="N474" i="6"/>
  <c r="K474" i="6"/>
  <c r="J474" i="6"/>
  <c r="W473" i="6"/>
  <c r="V473" i="6"/>
  <c r="U473" i="6"/>
  <c r="N473" i="6"/>
  <c r="J473" i="6"/>
  <c r="V472" i="6"/>
  <c r="U472" i="6"/>
  <c r="N472" i="6"/>
  <c r="W472" i="6" s="1"/>
  <c r="J472" i="6"/>
  <c r="V471" i="6"/>
  <c r="U471" i="6"/>
  <c r="R471" i="6"/>
  <c r="Q471" i="6"/>
  <c r="N471" i="6"/>
  <c r="W471" i="6" s="1"/>
  <c r="J471" i="6"/>
  <c r="K471" i="6" s="1"/>
  <c r="V470" i="6"/>
  <c r="U470" i="6"/>
  <c r="Q470" i="6"/>
  <c r="N470" i="6"/>
  <c r="J470" i="6"/>
  <c r="K470" i="6" s="1"/>
  <c r="V469" i="6"/>
  <c r="U469" i="6"/>
  <c r="N469" i="6"/>
  <c r="J469" i="6"/>
  <c r="W468" i="6"/>
  <c r="V468" i="6"/>
  <c r="U468" i="6"/>
  <c r="N468" i="6"/>
  <c r="K468" i="6"/>
  <c r="J468" i="6"/>
  <c r="W467" i="6"/>
  <c r="V467" i="6"/>
  <c r="T467" i="6"/>
  <c r="R467" i="6"/>
  <c r="N467" i="6"/>
  <c r="L467" i="6"/>
  <c r="K467" i="6"/>
  <c r="J467" i="6"/>
  <c r="Q467" i="6" s="1"/>
  <c r="V466" i="6"/>
  <c r="U466" i="6"/>
  <c r="N466" i="6"/>
  <c r="W466" i="6" s="1"/>
  <c r="J466" i="6"/>
  <c r="V465" i="6"/>
  <c r="U465" i="6"/>
  <c r="Q465" i="6"/>
  <c r="N465" i="6"/>
  <c r="J465" i="6"/>
  <c r="K465" i="6" s="1"/>
  <c r="V464" i="6"/>
  <c r="U464" i="6"/>
  <c r="Q464" i="6"/>
  <c r="P464" i="6"/>
  <c r="O464" i="6"/>
  <c r="N464" i="6"/>
  <c r="J464" i="6"/>
  <c r="K464" i="6" s="1"/>
  <c r="T464" i="6" s="1"/>
  <c r="V463" i="6"/>
  <c r="U463" i="6"/>
  <c r="N463" i="6"/>
  <c r="J463" i="6"/>
  <c r="W462" i="6"/>
  <c r="V462" i="6"/>
  <c r="U462" i="6"/>
  <c r="N462" i="6"/>
  <c r="J462" i="6"/>
  <c r="W461" i="6"/>
  <c r="V461" i="6"/>
  <c r="U461" i="6"/>
  <c r="N461" i="6"/>
  <c r="J461" i="6"/>
  <c r="V460" i="6"/>
  <c r="U460" i="6"/>
  <c r="N460" i="6"/>
  <c r="W460" i="6" s="1"/>
  <c r="J460" i="6"/>
  <c r="V459" i="6"/>
  <c r="U459" i="6"/>
  <c r="R459" i="6"/>
  <c r="Q459" i="6"/>
  <c r="N459" i="6"/>
  <c r="W459" i="6" s="1"/>
  <c r="J459" i="6"/>
  <c r="K459" i="6" s="1"/>
  <c r="V458" i="6"/>
  <c r="U458" i="6"/>
  <c r="Q458" i="6"/>
  <c r="N458" i="6"/>
  <c r="J458" i="6"/>
  <c r="K458" i="6" s="1"/>
  <c r="V457" i="6"/>
  <c r="U457" i="6"/>
  <c r="N457" i="6"/>
  <c r="J457" i="6"/>
  <c r="W456" i="6"/>
  <c r="V456" i="6"/>
  <c r="U456" i="6"/>
  <c r="N456" i="6"/>
  <c r="J456" i="6"/>
  <c r="W455" i="6"/>
  <c r="V455" i="6"/>
  <c r="U455" i="6"/>
  <c r="N455" i="6"/>
  <c r="J455" i="6"/>
  <c r="V454" i="6"/>
  <c r="U454" i="6"/>
  <c r="N454" i="6"/>
  <c r="W454" i="6" s="1"/>
  <c r="J454" i="6"/>
  <c r="V453" i="6"/>
  <c r="U453" i="6"/>
  <c r="R453" i="6"/>
  <c r="Q453" i="6"/>
  <c r="N453" i="6"/>
  <c r="W453" i="6" s="1"/>
  <c r="J453" i="6"/>
  <c r="K453" i="6" s="1"/>
  <c r="V452" i="6"/>
  <c r="U452" i="6"/>
  <c r="Q452" i="6"/>
  <c r="N452" i="6"/>
  <c r="W452" i="6" s="1"/>
  <c r="J452" i="6"/>
  <c r="K452" i="6" s="1"/>
  <c r="V451" i="6"/>
  <c r="U451" i="6"/>
  <c r="N451" i="6"/>
  <c r="J451" i="6"/>
  <c r="W450" i="6"/>
  <c r="V450" i="6"/>
  <c r="U450" i="6"/>
  <c r="N450" i="6"/>
  <c r="J450" i="6"/>
  <c r="W449" i="6"/>
  <c r="V449" i="6"/>
  <c r="U449" i="6"/>
  <c r="N449" i="6"/>
  <c r="J449" i="6"/>
  <c r="V448" i="6"/>
  <c r="U448" i="6"/>
  <c r="N448" i="6"/>
  <c r="W448" i="6" s="1"/>
  <c r="J448" i="6"/>
  <c r="V447" i="6"/>
  <c r="U447" i="6"/>
  <c r="R447" i="6"/>
  <c r="Q447" i="6"/>
  <c r="N447" i="6"/>
  <c r="W447" i="6" s="1"/>
  <c r="J447" i="6"/>
  <c r="K447" i="6" s="1"/>
  <c r="V446" i="6"/>
  <c r="U446" i="6"/>
  <c r="Q446" i="6"/>
  <c r="N446" i="6"/>
  <c r="W446" i="6" s="1"/>
  <c r="J446" i="6"/>
  <c r="K446" i="6" s="1"/>
  <c r="V445" i="6"/>
  <c r="P7" i="7" s="1"/>
  <c r="R7" i="7" s="1"/>
  <c r="AE7" i="7" s="1"/>
  <c r="U445" i="6"/>
  <c r="N445" i="6"/>
  <c r="J445" i="6"/>
  <c r="W444" i="6"/>
  <c r="V444" i="6"/>
  <c r="U444" i="6"/>
  <c r="N444" i="6"/>
  <c r="K444" i="6"/>
  <c r="J444" i="6"/>
  <c r="W443" i="6"/>
  <c r="V443" i="6"/>
  <c r="U443" i="6"/>
  <c r="N443" i="6"/>
  <c r="J443" i="6"/>
  <c r="V442" i="6"/>
  <c r="U442" i="6"/>
  <c r="N442" i="6"/>
  <c r="W442" i="6" s="1"/>
  <c r="J442" i="6"/>
  <c r="V441" i="6"/>
  <c r="U441" i="6"/>
  <c r="R441" i="6"/>
  <c r="Q441" i="6"/>
  <c r="N441" i="6"/>
  <c r="W441" i="6" s="1"/>
  <c r="J441" i="6"/>
  <c r="K441" i="6" s="1"/>
  <c r="V440" i="6"/>
  <c r="U440" i="6"/>
  <c r="Q440" i="6"/>
  <c r="N440" i="6"/>
  <c r="W440" i="6" s="1"/>
  <c r="J440" i="6"/>
  <c r="K440" i="6" s="1"/>
  <c r="W439" i="6"/>
  <c r="V439" i="6"/>
  <c r="U439" i="6"/>
  <c r="R439" i="6"/>
  <c r="N439" i="6"/>
  <c r="K439" i="6"/>
  <c r="J439" i="6"/>
  <c r="Q439" i="6" s="1"/>
  <c r="V438" i="6"/>
  <c r="U438" i="6"/>
  <c r="N438" i="6"/>
  <c r="R438" i="6" s="1"/>
  <c r="J438" i="6"/>
  <c r="Q438" i="6" s="1"/>
  <c r="V437" i="6"/>
  <c r="U437" i="6"/>
  <c r="N437" i="6"/>
  <c r="J437" i="6"/>
  <c r="Q437" i="6" s="1"/>
  <c r="W436" i="6"/>
  <c r="V436" i="6"/>
  <c r="U436" i="6"/>
  <c r="N436" i="6"/>
  <c r="J436" i="6"/>
  <c r="V435" i="6"/>
  <c r="U435" i="6"/>
  <c r="Q435" i="6"/>
  <c r="N435" i="6"/>
  <c r="J435" i="6"/>
  <c r="K435" i="6" s="1"/>
  <c r="V434" i="6"/>
  <c r="U434" i="6"/>
  <c r="Q434" i="6"/>
  <c r="N434" i="6"/>
  <c r="J434" i="6"/>
  <c r="K434" i="6" s="1"/>
  <c r="V433" i="6"/>
  <c r="U433" i="6"/>
  <c r="Q433" i="6"/>
  <c r="N433" i="6"/>
  <c r="W433" i="6" s="1"/>
  <c r="K433" i="6"/>
  <c r="J433" i="6"/>
  <c r="V432" i="6"/>
  <c r="U432" i="6"/>
  <c r="Q432" i="6"/>
  <c r="N432" i="6"/>
  <c r="W432" i="6" s="1"/>
  <c r="K432" i="6"/>
  <c r="J432" i="6"/>
  <c r="W431" i="6"/>
  <c r="V431" i="6"/>
  <c r="U431" i="6"/>
  <c r="N431" i="6"/>
  <c r="J431" i="6"/>
  <c r="Q431" i="6" s="1"/>
  <c r="R431" i="6" s="1"/>
  <c r="W430" i="6"/>
  <c r="V430" i="6"/>
  <c r="U430" i="6"/>
  <c r="N430" i="6"/>
  <c r="K430" i="6"/>
  <c r="J430" i="6"/>
  <c r="V429" i="6"/>
  <c r="U429" i="6"/>
  <c r="N429" i="6"/>
  <c r="J429" i="6"/>
  <c r="V428" i="6"/>
  <c r="U428" i="6"/>
  <c r="Q428" i="6"/>
  <c r="N428" i="6"/>
  <c r="K428" i="6"/>
  <c r="J428" i="6"/>
  <c r="V427" i="6"/>
  <c r="U427" i="6"/>
  <c r="Q427" i="6"/>
  <c r="N427" i="6"/>
  <c r="J427" i="6"/>
  <c r="K427" i="6" s="1"/>
  <c r="V426" i="6"/>
  <c r="U426" i="6"/>
  <c r="Q426" i="6"/>
  <c r="N426" i="6"/>
  <c r="J426" i="6"/>
  <c r="K426" i="6" s="1"/>
  <c r="W425" i="6"/>
  <c r="V425" i="6"/>
  <c r="U425" i="6"/>
  <c r="N425" i="6"/>
  <c r="J425" i="6"/>
  <c r="W424" i="6"/>
  <c r="V424" i="6"/>
  <c r="U424" i="6"/>
  <c r="N424" i="6"/>
  <c r="K424" i="6"/>
  <c r="J424" i="6"/>
  <c r="W423" i="6"/>
  <c r="V423" i="6"/>
  <c r="U423" i="6"/>
  <c r="N423" i="6"/>
  <c r="K423" i="6"/>
  <c r="J423" i="6"/>
  <c r="W422" i="6"/>
  <c r="V422" i="6"/>
  <c r="U422" i="6"/>
  <c r="Q422" i="6"/>
  <c r="N422" i="6"/>
  <c r="J422" i="6"/>
  <c r="K422" i="6" s="1"/>
  <c r="V421" i="6"/>
  <c r="U421" i="6"/>
  <c r="R421" i="6"/>
  <c r="Q421" i="6"/>
  <c r="N421" i="6"/>
  <c r="W421" i="6" s="1"/>
  <c r="J421" i="6"/>
  <c r="K421" i="6" s="1"/>
  <c r="V420" i="6"/>
  <c r="U420" i="6"/>
  <c r="Q420" i="6"/>
  <c r="R420" i="6" s="1"/>
  <c r="N420" i="6"/>
  <c r="W420" i="6" s="1"/>
  <c r="J420" i="6"/>
  <c r="K420" i="6" s="1"/>
  <c r="W419" i="6"/>
  <c r="V419" i="6"/>
  <c r="U419" i="6"/>
  <c r="Q419" i="6"/>
  <c r="R419" i="6" s="1"/>
  <c r="N419" i="6"/>
  <c r="K419" i="6"/>
  <c r="J419" i="6"/>
  <c r="W418" i="6"/>
  <c r="V418" i="6"/>
  <c r="U418" i="6"/>
  <c r="N418" i="6"/>
  <c r="J418" i="6"/>
  <c r="V417" i="6"/>
  <c r="U417" i="6"/>
  <c r="N417" i="6"/>
  <c r="J417" i="6"/>
  <c r="W416" i="6"/>
  <c r="V416" i="6"/>
  <c r="U416" i="6"/>
  <c r="N416" i="6"/>
  <c r="J416" i="6"/>
  <c r="V415" i="6"/>
  <c r="U415" i="6"/>
  <c r="Q415" i="6"/>
  <c r="N415" i="6"/>
  <c r="W415" i="6" s="1"/>
  <c r="J415" i="6"/>
  <c r="K415" i="6" s="1"/>
  <c r="V414" i="6"/>
  <c r="U414" i="6"/>
  <c r="Q414" i="6"/>
  <c r="N414" i="6"/>
  <c r="W414" i="6" s="1"/>
  <c r="J414" i="6"/>
  <c r="K414" i="6" s="1"/>
  <c r="V413" i="6"/>
  <c r="U413" i="6"/>
  <c r="N413" i="6"/>
  <c r="K413" i="6"/>
  <c r="J413" i="6"/>
  <c r="Q413" i="6" s="1"/>
  <c r="W412" i="6"/>
  <c r="V412" i="6"/>
  <c r="U412" i="6"/>
  <c r="R412" i="6"/>
  <c r="N412" i="6"/>
  <c r="K412" i="6"/>
  <c r="J412" i="6"/>
  <c r="Q412" i="6" s="1"/>
  <c r="W411" i="6"/>
  <c r="V411" i="6"/>
  <c r="U411" i="6"/>
  <c r="N411" i="6"/>
  <c r="J411" i="6"/>
  <c r="W410" i="6"/>
  <c r="V410" i="6"/>
  <c r="U410" i="6"/>
  <c r="Q410" i="6"/>
  <c r="N410" i="6"/>
  <c r="J410" i="6"/>
  <c r="K410" i="6" s="1"/>
  <c r="V409" i="6"/>
  <c r="U409" i="6"/>
  <c r="Q409" i="6"/>
  <c r="R409" i="6" s="1"/>
  <c r="N409" i="6"/>
  <c r="W409" i="6" s="1"/>
  <c r="J409" i="6"/>
  <c r="K409" i="6" s="1"/>
  <c r="V408" i="6"/>
  <c r="U408" i="6"/>
  <c r="Q408" i="6"/>
  <c r="R408" i="6" s="1"/>
  <c r="N408" i="6"/>
  <c r="W408" i="6" s="1"/>
  <c r="J408" i="6"/>
  <c r="K408" i="6" s="1"/>
  <c r="V407" i="6"/>
  <c r="U407" i="6"/>
  <c r="Q407" i="6"/>
  <c r="N407" i="6"/>
  <c r="W407" i="6" s="1"/>
  <c r="J407" i="6"/>
  <c r="K407" i="6" s="1"/>
  <c r="W406" i="6"/>
  <c r="V406" i="6"/>
  <c r="U406" i="6"/>
  <c r="R406" i="6"/>
  <c r="N406" i="6"/>
  <c r="J406" i="6"/>
  <c r="Q406" i="6" s="1"/>
  <c r="V405" i="6"/>
  <c r="U405" i="6"/>
  <c r="N405" i="6"/>
  <c r="W405" i="6" s="1"/>
  <c r="K405" i="6"/>
  <c r="J405" i="6"/>
  <c r="V404" i="6"/>
  <c r="U404" i="6"/>
  <c r="Q404" i="6"/>
  <c r="N404" i="6"/>
  <c r="K404" i="6"/>
  <c r="J404" i="6"/>
  <c r="V403" i="6"/>
  <c r="U403" i="6"/>
  <c r="N403" i="6"/>
  <c r="J403" i="6"/>
  <c r="V402" i="6"/>
  <c r="U402" i="6"/>
  <c r="Q402" i="6"/>
  <c r="N402" i="6"/>
  <c r="J402" i="6"/>
  <c r="K402" i="6" s="1"/>
  <c r="W401" i="6"/>
  <c r="V401" i="6"/>
  <c r="U401" i="6"/>
  <c r="N401" i="6"/>
  <c r="J401" i="6"/>
  <c r="W400" i="6"/>
  <c r="V400" i="6"/>
  <c r="U400" i="6"/>
  <c r="N400" i="6"/>
  <c r="K400" i="6"/>
  <c r="J400" i="6"/>
  <c r="W399" i="6"/>
  <c r="V399" i="6"/>
  <c r="U399" i="6"/>
  <c r="N399" i="6"/>
  <c r="J399" i="6"/>
  <c r="W398" i="6"/>
  <c r="V398" i="6"/>
  <c r="U398" i="6"/>
  <c r="N398" i="6"/>
  <c r="J398" i="6"/>
  <c r="V397" i="6"/>
  <c r="U397" i="6"/>
  <c r="N397" i="6"/>
  <c r="W397" i="6" s="1"/>
  <c r="J397" i="6"/>
  <c r="K397" i="6" s="1"/>
  <c r="V396" i="6"/>
  <c r="U396" i="6"/>
  <c r="N396" i="6"/>
  <c r="W396" i="6" s="1"/>
  <c r="J396" i="6"/>
  <c r="W395" i="6"/>
  <c r="V395" i="6"/>
  <c r="U395" i="6"/>
  <c r="N395" i="6"/>
  <c r="J395" i="6"/>
  <c r="V394" i="6"/>
  <c r="U394" i="6"/>
  <c r="N394" i="6"/>
  <c r="J394" i="6"/>
  <c r="V393" i="6"/>
  <c r="U393" i="6"/>
  <c r="O393" i="6"/>
  <c r="N393" i="6"/>
  <c r="W393" i="6" s="1"/>
  <c r="J393" i="6"/>
  <c r="W392" i="6"/>
  <c r="V392" i="6"/>
  <c r="U392" i="6"/>
  <c r="N392" i="6"/>
  <c r="K392" i="6"/>
  <c r="J392" i="6"/>
  <c r="Q392" i="6" s="1"/>
  <c r="R392" i="6" s="1"/>
  <c r="V391" i="6"/>
  <c r="U391" i="6"/>
  <c r="N391" i="6"/>
  <c r="W391" i="6" s="1"/>
  <c r="J391" i="6"/>
  <c r="K391" i="6" s="1"/>
  <c r="V390" i="6"/>
  <c r="U390" i="6"/>
  <c r="N390" i="6"/>
  <c r="W390" i="6" s="1"/>
  <c r="J390" i="6"/>
  <c r="V389" i="6"/>
  <c r="U389" i="6"/>
  <c r="N389" i="6"/>
  <c r="J389" i="6"/>
  <c r="V388" i="6"/>
  <c r="U388" i="6"/>
  <c r="N388" i="6"/>
  <c r="R388" i="6" s="1"/>
  <c r="K388" i="6"/>
  <c r="J388" i="6"/>
  <c r="Q388" i="6" s="1"/>
  <c r="W387" i="6"/>
  <c r="V387" i="6"/>
  <c r="U387" i="6"/>
  <c r="N387" i="6"/>
  <c r="J387" i="6"/>
  <c r="W386" i="6"/>
  <c r="V386" i="6"/>
  <c r="U386" i="6"/>
  <c r="N386" i="6"/>
  <c r="J386" i="6"/>
  <c r="W385" i="6"/>
  <c r="V385" i="6"/>
  <c r="U385" i="6"/>
  <c r="N385" i="6"/>
  <c r="J385" i="6"/>
  <c r="V384" i="6"/>
  <c r="U384" i="6"/>
  <c r="N384" i="6"/>
  <c r="J384" i="6"/>
  <c r="V383" i="6"/>
  <c r="U383" i="6"/>
  <c r="Q383" i="6"/>
  <c r="N383" i="6"/>
  <c r="K383" i="6"/>
  <c r="J383" i="6"/>
  <c r="V382" i="6"/>
  <c r="U382" i="6"/>
  <c r="Q382" i="6"/>
  <c r="N382" i="6"/>
  <c r="W382" i="6" s="1"/>
  <c r="J382" i="6"/>
  <c r="K382" i="6" s="1"/>
  <c r="V381" i="6"/>
  <c r="U381" i="6"/>
  <c r="N381" i="6"/>
  <c r="J381" i="6"/>
  <c r="Q381" i="6" s="1"/>
  <c r="W380" i="6"/>
  <c r="V380" i="6"/>
  <c r="U380" i="6"/>
  <c r="Q380" i="6"/>
  <c r="R380" i="6" s="1"/>
  <c r="N380" i="6"/>
  <c r="J380" i="6"/>
  <c r="K380" i="6" s="1"/>
  <c r="V379" i="6"/>
  <c r="U379" i="6"/>
  <c r="Q379" i="6"/>
  <c r="R379" i="6" s="1"/>
  <c r="N379" i="6"/>
  <c r="W379" i="6" s="1"/>
  <c r="J379" i="6"/>
  <c r="V378" i="6"/>
  <c r="U378" i="6"/>
  <c r="N378" i="6"/>
  <c r="J378" i="6"/>
  <c r="V377" i="6"/>
  <c r="U377" i="6"/>
  <c r="N377" i="6"/>
  <c r="J377" i="6"/>
  <c r="V376" i="6"/>
  <c r="U376" i="6"/>
  <c r="Q376" i="6"/>
  <c r="N376" i="6"/>
  <c r="R376" i="6" s="1"/>
  <c r="K376" i="6"/>
  <c r="J376" i="6"/>
  <c r="V375" i="6"/>
  <c r="U375" i="6"/>
  <c r="N375" i="6"/>
  <c r="J375" i="6"/>
  <c r="W374" i="6"/>
  <c r="V374" i="6"/>
  <c r="U374" i="6"/>
  <c r="N374" i="6"/>
  <c r="J374" i="6"/>
  <c r="K374" i="6" s="1"/>
  <c r="V373" i="6"/>
  <c r="U373" i="6"/>
  <c r="N373" i="6"/>
  <c r="J373" i="6"/>
  <c r="V372" i="6"/>
  <c r="U372" i="6"/>
  <c r="N372" i="6"/>
  <c r="J372" i="6"/>
  <c r="V371" i="6"/>
  <c r="U371" i="6"/>
  <c r="N371" i="6"/>
  <c r="R371" i="6" s="1"/>
  <c r="K371" i="6"/>
  <c r="J371" i="6"/>
  <c r="Q371" i="6" s="1"/>
  <c r="V370" i="6"/>
  <c r="U370" i="6"/>
  <c r="R370" i="6"/>
  <c r="Q370" i="6"/>
  <c r="N370" i="6"/>
  <c r="W370" i="6" s="1"/>
  <c r="K370" i="6"/>
  <c r="J370" i="6"/>
  <c r="V369" i="6"/>
  <c r="U369" i="6"/>
  <c r="N369" i="6"/>
  <c r="J369" i="6"/>
  <c r="W368" i="6"/>
  <c r="V368" i="6"/>
  <c r="U368" i="6"/>
  <c r="N368" i="6"/>
  <c r="J368" i="6"/>
  <c r="V367" i="6"/>
  <c r="U367" i="6"/>
  <c r="N367" i="6"/>
  <c r="J367" i="6"/>
  <c r="V366" i="6"/>
  <c r="U366" i="6"/>
  <c r="N366" i="6"/>
  <c r="J366" i="6"/>
  <c r="W365" i="6"/>
  <c r="V365" i="6"/>
  <c r="U365" i="6"/>
  <c r="N365" i="6"/>
  <c r="J365" i="6"/>
  <c r="W364" i="6"/>
  <c r="V364" i="6"/>
  <c r="U364" i="6"/>
  <c r="Q364" i="6"/>
  <c r="R364" i="6" s="1"/>
  <c r="N364" i="6"/>
  <c r="K364" i="6"/>
  <c r="J364" i="6"/>
  <c r="V363" i="6"/>
  <c r="U363" i="6"/>
  <c r="N363" i="6"/>
  <c r="W363" i="6" s="1"/>
  <c r="J363" i="6"/>
  <c r="W362" i="6"/>
  <c r="V362" i="6"/>
  <c r="U362" i="6"/>
  <c r="Q362" i="6"/>
  <c r="R362" i="6" s="1"/>
  <c r="N362" i="6"/>
  <c r="J362" i="6"/>
  <c r="K362" i="6" s="1"/>
  <c r="V361" i="6"/>
  <c r="U361" i="6"/>
  <c r="Q361" i="6"/>
  <c r="N361" i="6"/>
  <c r="K361" i="6"/>
  <c r="J361" i="6"/>
  <c r="V360" i="6"/>
  <c r="U360" i="6"/>
  <c r="N360" i="6"/>
  <c r="J360" i="6"/>
  <c r="W359" i="6"/>
  <c r="V359" i="6"/>
  <c r="U359" i="6"/>
  <c r="N359" i="6"/>
  <c r="R359" i="6" s="1"/>
  <c r="K359" i="6"/>
  <c r="J359" i="6"/>
  <c r="Q359" i="6" s="1"/>
  <c r="V358" i="6"/>
  <c r="U358" i="6"/>
  <c r="Q358" i="6"/>
  <c r="N358" i="6"/>
  <c r="R358" i="6" s="1"/>
  <c r="K358" i="6"/>
  <c r="J358" i="6"/>
  <c r="V357" i="6"/>
  <c r="U357" i="6"/>
  <c r="N357" i="6"/>
  <c r="W357" i="6" s="1"/>
  <c r="J357" i="6"/>
  <c r="W356" i="6"/>
  <c r="V356" i="6"/>
  <c r="U356" i="6"/>
  <c r="R356" i="6"/>
  <c r="Q356" i="6"/>
  <c r="N356" i="6"/>
  <c r="J356" i="6"/>
  <c r="W355" i="6"/>
  <c r="V355" i="6"/>
  <c r="U355" i="6"/>
  <c r="Q355" i="6"/>
  <c r="R355" i="6" s="1"/>
  <c r="N355" i="6"/>
  <c r="J355" i="6"/>
  <c r="V354" i="6"/>
  <c r="P16" i="7" s="1"/>
  <c r="R16" i="7" s="1"/>
  <c r="AE16" i="7" s="1"/>
  <c r="U354" i="6"/>
  <c r="P354" i="6"/>
  <c r="O354" i="6"/>
  <c r="N354" i="6"/>
  <c r="J354" i="6"/>
  <c r="V353" i="6"/>
  <c r="U353" i="6"/>
  <c r="N353" i="6"/>
  <c r="W353" i="6" s="1"/>
  <c r="J353" i="6"/>
  <c r="Q353" i="6" s="1"/>
  <c r="R353" i="6" s="1"/>
  <c r="V352" i="6"/>
  <c r="U352" i="6"/>
  <c r="R352" i="6"/>
  <c r="Q352" i="6"/>
  <c r="N352" i="6"/>
  <c r="W352" i="6" s="1"/>
  <c r="K352" i="6"/>
  <c r="J352" i="6"/>
  <c r="V351" i="6"/>
  <c r="U351" i="6"/>
  <c r="N351" i="6"/>
  <c r="W351" i="6" s="1"/>
  <c r="J351" i="6"/>
  <c r="W350" i="6"/>
  <c r="V350" i="6"/>
  <c r="U350" i="6"/>
  <c r="Q350" i="6"/>
  <c r="R350" i="6" s="1"/>
  <c r="N350" i="6"/>
  <c r="J350" i="6"/>
  <c r="K350" i="6" s="1"/>
  <c r="W349" i="6"/>
  <c r="V349" i="6"/>
  <c r="U349" i="6"/>
  <c r="Q349" i="6"/>
  <c r="N349" i="6"/>
  <c r="R349" i="6" s="1"/>
  <c r="K349" i="6"/>
  <c r="J349" i="6"/>
  <c r="V348" i="6"/>
  <c r="U348" i="6"/>
  <c r="N348" i="6"/>
  <c r="J348" i="6"/>
  <c r="W347" i="6"/>
  <c r="V347" i="6"/>
  <c r="U347" i="6"/>
  <c r="Q347" i="6"/>
  <c r="R347" i="6" s="1"/>
  <c r="N347" i="6"/>
  <c r="J347" i="6"/>
  <c r="K347" i="6" s="1"/>
  <c r="W346" i="6"/>
  <c r="V346" i="6"/>
  <c r="U346" i="6"/>
  <c r="Q346" i="6"/>
  <c r="R346" i="6" s="1"/>
  <c r="N346" i="6"/>
  <c r="K346" i="6"/>
  <c r="J346" i="6"/>
  <c r="V345" i="6"/>
  <c r="U345" i="6"/>
  <c r="N345" i="6"/>
  <c r="W345" i="6" s="1"/>
  <c r="J345" i="6"/>
  <c r="W344" i="6"/>
  <c r="V344" i="6"/>
  <c r="U344" i="6"/>
  <c r="Q344" i="6"/>
  <c r="R344" i="6" s="1"/>
  <c r="N344" i="6"/>
  <c r="K344" i="6"/>
  <c r="J344" i="6"/>
  <c r="V343" i="6"/>
  <c r="T343" i="6"/>
  <c r="Q343" i="6"/>
  <c r="N343" i="6"/>
  <c r="M343" i="6"/>
  <c r="L343" i="6"/>
  <c r="K343" i="6"/>
  <c r="J343" i="6"/>
  <c r="V342" i="6"/>
  <c r="T342" i="6"/>
  <c r="N342" i="6"/>
  <c r="M342" i="6"/>
  <c r="L342" i="6"/>
  <c r="K342" i="6"/>
  <c r="J342" i="6"/>
  <c r="Q342" i="6" s="1"/>
  <c r="V341" i="6"/>
  <c r="U341" i="6"/>
  <c r="R341" i="6"/>
  <c r="Q341" i="6"/>
  <c r="P341" i="6"/>
  <c r="O341" i="6"/>
  <c r="T341" i="6" s="1"/>
  <c r="N341" i="6"/>
  <c r="W341" i="6" s="1"/>
  <c r="K341" i="6"/>
  <c r="J341" i="6"/>
  <c r="W340" i="6"/>
  <c r="V340" i="6"/>
  <c r="U340" i="6"/>
  <c r="R340" i="6"/>
  <c r="Q340" i="6"/>
  <c r="P340" i="6"/>
  <c r="O340" i="6"/>
  <c r="T340" i="6" s="1"/>
  <c r="N340" i="6"/>
  <c r="K340" i="6"/>
  <c r="J340" i="6"/>
  <c r="V339" i="6"/>
  <c r="U339" i="6"/>
  <c r="R339" i="6"/>
  <c r="Q339" i="6"/>
  <c r="P339" i="6"/>
  <c r="O339" i="6"/>
  <c r="N339" i="6"/>
  <c r="W339" i="6" s="1"/>
  <c r="J339" i="6"/>
  <c r="K339" i="6" s="1"/>
  <c r="W338" i="6"/>
  <c r="V338" i="6"/>
  <c r="U338" i="6"/>
  <c r="N338" i="6"/>
  <c r="J338" i="6"/>
  <c r="W337" i="6"/>
  <c r="V337" i="6"/>
  <c r="U337" i="6"/>
  <c r="N337" i="6"/>
  <c r="J337" i="6"/>
  <c r="W336" i="6"/>
  <c r="V336" i="6"/>
  <c r="U336" i="6"/>
  <c r="N336" i="6"/>
  <c r="J336" i="6"/>
  <c r="W335" i="6"/>
  <c r="V335" i="6"/>
  <c r="U335" i="6"/>
  <c r="N335" i="6"/>
  <c r="J335" i="6"/>
  <c r="W334" i="6"/>
  <c r="V334" i="6"/>
  <c r="U334" i="6"/>
  <c r="R334" i="6"/>
  <c r="Q334" i="6"/>
  <c r="N334" i="6"/>
  <c r="K334" i="6"/>
  <c r="J334" i="6"/>
  <c r="V333" i="6"/>
  <c r="U333" i="6"/>
  <c r="N333" i="6"/>
  <c r="W333" i="6" s="1"/>
  <c r="J333" i="6"/>
  <c r="K333" i="6" s="1"/>
  <c r="W332" i="6"/>
  <c r="V332" i="6"/>
  <c r="U332" i="6"/>
  <c r="N332" i="6"/>
  <c r="J332" i="6"/>
  <c r="V331" i="6"/>
  <c r="U331" i="6"/>
  <c r="N331" i="6"/>
  <c r="R331" i="6" s="1"/>
  <c r="K331" i="6"/>
  <c r="J331" i="6"/>
  <c r="Q331" i="6" s="1"/>
  <c r="V330" i="6"/>
  <c r="U330" i="6"/>
  <c r="N330" i="6"/>
  <c r="K330" i="6"/>
  <c r="J330" i="6"/>
  <c r="Q330" i="6" s="1"/>
  <c r="W329" i="6"/>
  <c r="V329" i="6"/>
  <c r="U329" i="6"/>
  <c r="N329" i="6"/>
  <c r="J329" i="6"/>
  <c r="W328" i="6"/>
  <c r="V328" i="6"/>
  <c r="U328" i="6"/>
  <c r="Q328" i="6"/>
  <c r="R328" i="6" s="1"/>
  <c r="N328" i="6"/>
  <c r="J328" i="6"/>
  <c r="V327" i="6"/>
  <c r="U327" i="6"/>
  <c r="N327" i="6"/>
  <c r="W327" i="6" s="1"/>
  <c r="J327" i="6"/>
  <c r="V326" i="6"/>
  <c r="U326" i="6"/>
  <c r="Q326" i="6"/>
  <c r="N326" i="6"/>
  <c r="K326" i="6"/>
  <c r="J326" i="6"/>
  <c r="V325" i="6"/>
  <c r="U325" i="6"/>
  <c r="Q325" i="6"/>
  <c r="N325" i="6"/>
  <c r="K325" i="6"/>
  <c r="J325" i="6"/>
  <c r="V324" i="6"/>
  <c r="U324" i="6"/>
  <c r="N324" i="6"/>
  <c r="K324" i="6"/>
  <c r="J324" i="6"/>
  <c r="Q324" i="6" s="1"/>
  <c r="V323" i="6"/>
  <c r="U323" i="6"/>
  <c r="N323" i="6"/>
  <c r="J323" i="6"/>
  <c r="K323" i="6" s="1"/>
  <c r="W322" i="6"/>
  <c r="V322" i="6"/>
  <c r="U322" i="6"/>
  <c r="Q322" i="6"/>
  <c r="R322" i="6" s="1"/>
  <c r="N322" i="6"/>
  <c r="K322" i="6"/>
  <c r="J322" i="6"/>
  <c r="V321" i="6"/>
  <c r="U321" i="6"/>
  <c r="Q321" i="6"/>
  <c r="R321" i="6" s="1"/>
  <c r="N321" i="6"/>
  <c r="W321" i="6" s="1"/>
  <c r="J321" i="6"/>
  <c r="K321" i="6" s="1"/>
  <c r="W320" i="6"/>
  <c r="V320" i="6"/>
  <c r="U320" i="6"/>
  <c r="N320" i="6"/>
  <c r="J320" i="6"/>
  <c r="V319" i="6"/>
  <c r="U319" i="6"/>
  <c r="N319" i="6"/>
  <c r="R319" i="6" s="1"/>
  <c r="K319" i="6"/>
  <c r="J319" i="6"/>
  <c r="Q319" i="6" s="1"/>
  <c r="V318" i="6"/>
  <c r="U318" i="6"/>
  <c r="N318" i="6"/>
  <c r="J318" i="6"/>
  <c r="Q318" i="6" s="1"/>
  <c r="W317" i="6"/>
  <c r="V317" i="6"/>
  <c r="U317" i="6"/>
  <c r="N317" i="6"/>
  <c r="J317" i="6"/>
  <c r="W316" i="6"/>
  <c r="V316" i="6"/>
  <c r="U316" i="6"/>
  <c r="Q316" i="6"/>
  <c r="R316" i="6" s="1"/>
  <c r="N316" i="6"/>
  <c r="K316" i="6"/>
  <c r="J316" i="6"/>
  <c r="V315" i="6"/>
  <c r="U315" i="6"/>
  <c r="N315" i="6"/>
  <c r="W315" i="6" s="1"/>
  <c r="J315" i="6"/>
  <c r="V314" i="6"/>
  <c r="U314" i="6"/>
  <c r="Q314" i="6"/>
  <c r="N314" i="6"/>
  <c r="K314" i="6"/>
  <c r="J314" i="6"/>
  <c r="V313" i="6"/>
  <c r="U313" i="6"/>
  <c r="R313" i="6"/>
  <c r="Q313" i="6"/>
  <c r="N313" i="6"/>
  <c r="W313" i="6" s="1"/>
  <c r="K313" i="6"/>
  <c r="J313" i="6"/>
  <c r="V312" i="6"/>
  <c r="U312" i="6"/>
  <c r="P312" i="6"/>
  <c r="O312" i="6"/>
  <c r="N312" i="6"/>
  <c r="J312" i="6"/>
  <c r="K312" i="6" s="1"/>
  <c r="W311" i="6"/>
  <c r="V311" i="6"/>
  <c r="U311" i="6"/>
  <c r="R311" i="6"/>
  <c r="Q311" i="6"/>
  <c r="N311" i="6"/>
  <c r="K311" i="6"/>
  <c r="J311" i="6"/>
  <c r="W310" i="6"/>
  <c r="V310" i="6"/>
  <c r="U310" i="6"/>
  <c r="R310" i="6"/>
  <c r="N310" i="6"/>
  <c r="K310" i="6"/>
  <c r="J310" i="6"/>
  <c r="Q310" i="6" s="1"/>
  <c r="W309" i="6"/>
  <c r="V309" i="6"/>
  <c r="U309" i="6"/>
  <c r="N309" i="6"/>
  <c r="J309" i="6"/>
  <c r="W308" i="6"/>
  <c r="V308" i="6"/>
  <c r="U308" i="6"/>
  <c r="R308" i="6"/>
  <c r="Q308" i="6"/>
  <c r="N308" i="6"/>
  <c r="K308" i="6"/>
  <c r="J308" i="6"/>
  <c r="V307" i="6"/>
  <c r="U307" i="6"/>
  <c r="Q307" i="6"/>
  <c r="N307" i="6"/>
  <c r="K307" i="6"/>
  <c r="J307" i="6"/>
  <c r="V306" i="6"/>
  <c r="U306" i="6"/>
  <c r="N306" i="6"/>
  <c r="J306" i="6"/>
  <c r="W305" i="6"/>
  <c r="V305" i="6"/>
  <c r="U305" i="6"/>
  <c r="R305" i="6"/>
  <c r="Q305" i="6"/>
  <c r="N305" i="6"/>
  <c r="K305" i="6"/>
  <c r="J305" i="6"/>
  <c r="W304" i="6"/>
  <c r="V304" i="6"/>
  <c r="U304" i="6"/>
  <c r="R304" i="6"/>
  <c r="N304" i="6"/>
  <c r="K304" i="6"/>
  <c r="J304" i="6"/>
  <c r="Q304" i="6" s="1"/>
  <c r="W303" i="6"/>
  <c r="V303" i="6"/>
  <c r="U303" i="6"/>
  <c r="N303" i="6"/>
  <c r="J303" i="6"/>
  <c r="W302" i="6"/>
  <c r="V302" i="6"/>
  <c r="U302" i="6"/>
  <c r="N302" i="6"/>
  <c r="J302" i="6"/>
  <c r="V301" i="6"/>
  <c r="U301" i="6"/>
  <c r="Q301" i="6"/>
  <c r="N301" i="6"/>
  <c r="K301" i="6"/>
  <c r="J301" i="6"/>
  <c r="V300" i="6"/>
  <c r="U300" i="6"/>
  <c r="N300" i="6"/>
  <c r="J300" i="6"/>
  <c r="W299" i="6"/>
  <c r="V299" i="6"/>
  <c r="U299" i="6"/>
  <c r="Q299" i="6"/>
  <c r="R299" i="6" s="1"/>
  <c r="N299" i="6"/>
  <c r="K299" i="6"/>
  <c r="J299" i="6"/>
  <c r="V298" i="6"/>
  <c r="U298" i="6"/>
  <c r="N298" i="6"/>
  <c r="J298" i="6"/>
  <c r="W297" i="6"/>
  <c r="V297" i="6"/>
  <c r="U297" i="6"/>
  <c r="N297" i="6"/>
  <c r="J297" i="6"/>
  <c r="V296" i="6"/>
  <c r="U296" i="6"/>
  <c r="N296" i="6"/>
  <c r="W296" i="6" s="1"/>
  <c r="K296" i="6"/>
  <c r="J296" i="6"/>
  <c r="V295" i="6"/>
  <c r="U295" i="6"/>
  <c r="Q295" i="6"/>
  <c r="N295" i="6"/>
  <c r="K295" i="6"/>
  <c r="J295" i="6"/>
  <c r="V294" i="6"/>
  <c r="U294" i="6"/>
  <c r="N294" i="6"/>
  <c r="J294" i="6"/>
  <c r="W293" i="6"/>
  <c r="V293" i="6"/>
  <c r="U293" i="6"/>
  <c r="Q293" i="6"/>
  <c r="R293" i="6" s="1"/>
  <c r="N293" i="6"/>
  <c r="K293" i="6"/>
  <c r="J293" i="6"/>
  <c r="V292" i="6"/>
  <c r="U292" i="6"/>
  <c r="N292" i="6"/>
  <c r="J292" i="6"/>
  <c r="W291" i="6"/>
  <c r="V291" i="6"/>
  <c r="U291" i="6"/>
  <c r="N291" i="6"/>
  <c r="J291" i="6"/>
  <c r="V290" i="6"/>
  <c r="U290" i="6"/>
  <c r="N290" i="6"/>
  <c r="W290" i="6" s="1"/>
  <c r="K290" i="6"/>
  <c r="J290" i="6"/>
  <c r="V289" i="6"/>
  <c r="U289" i="6"/>
  <c r="Q289" i="6"/>
  <c r="N289" i="6"/>
  <c r="K289" i="6"/>
  <c r="J289" i="6"/>
  <c r="V288" i="6"/>
  <c r="U288" i="6"/>
  <c r="N288" i="6"/>
  <c r="J288" i="6"/>
  <c r="W287" i="6"/>
  <c r="V287" i="6"/>
  <c r="U287" i="6"/>
  <c r="Q287" i="6"/>
  <c r="R287" i="6" s="1"/>
  <c r="N287" i="6"/>
  <c r="K287" i="6"/>
  <c r="J287" i="6"/>
  <c r="V286" i="6"/>
  <c r="U286" i="6"/>
  <c r="N286" i="6"/>
  <c r="J286" i="6"/>
  <c r="V285" i="6"/>
  <c r="U285" i="6"/>
  <c r="N285" i="6"/>
  <c r="J285" i="6"/>
  <c r="V284" i="6"/>
  <c r="U284" i="6"/>
  <c r="Q284" i="6"/>
  <c r="N284" i="6"/>
  <c r="K284" i="6"/>
  <c r="J284" i="6"/>
  <c r="V283" i="6"/>
  <c r="U283" i="6"/>
  <c r="Q283" i="6"/>
  <c r="N283" i="6"/>
  <c r="K283" i="6"/>
  <c r="J283" i="6"/>
  <c r="V282" i="6"/>
  <c r="U282" i="6"/>
  <c r="Q282" i="6"/>
  <c r="N282" i="6"/>
  <c r="J282" i="6"/>
  <c r="K282" i="6" s="1"/>
  <c r="W281" i="6"/>
  <c r="V281" i="6"/>
  <c r="U281" i="6"/>
  <c r="R281" i="6"/>
  <c r="Q281" i="6"/>
  <c r="N281" i="6"/>
  <c r="K281" i="6"/>
  <c r="J281" i="6"/>
  <c r="W280" i="6"/>
  <c r="V280" i="6"/>
  <c r="U280" i="6"/>
  <c r="N280" i="6"/>
  <c r="K280" i="6"/>
  <c r="J280" i="6"/>
  <c r="V279" i="6"/>
  <c r="U279" i="6"/>
  <c r="N279" i="6"/>
  <c r="W279" i="6" s="1"/>
  <c r="J279" i="6"/>
  <c r="W278" i="6"/>
  <c r="V278" i="6"/>
  <c r="U278" i="6"/>
  <c r="N278" i="6"/>
  <c r="J278" i="6"/>
  <c r="K278" i="6" s="1"/>
  <c r="V277" i="6"/>
  <c r="U277" i="6"/>
  <c r="R277" i="6"/>
  <c r="Q277" i="6"/>
  <c r="N277" i="6"/>
  <c r="W277" i="6" s="1"/>
  <c r="K277" i="6"/>
  <c r="J277" i="6"/>
  <c r="V276" i="6"/>
  <c r="U276" i="6"/>
  <c r="R276" i="6"/>
  <c r="Q276" i="6"/>
  <c r="N276" i="6"/>
  <c r="W276" i="6" s="1"/>
  <c r="J276" i="6"/>
  <c r="K276" i="6" s="1"/>
  <c r="W275" i="6"/>
  <c r="V275" i="6"/>
  <c r="U275" i="6"/>
  <c r="R275" i="6"/>
  <c r="Q275" i="6"/>
  <c r="N275" i="6"/>
  <c r="K275" i="6"/>
  <c r="J275" i="6"/>
  <c r="W274" i="6"/>
  <c r="V274" i="6"/>
  <c r="U274" i="6"/>
  <c r="N274" i="6"/>
  <c r="J274" i="6"/>
  <c r="V273" i="6"/>
  <c r="U273" i="6"/>
  <c r="N273" i="6"/>
  <c r="K273" i="6"/>
  <c r="J273" i="6"/>
  <c r="Q273" i="6" s="1"/>
  <c r="W272" i="6"/>
  <c r="V272" i="6"/>
  <c r="U272" i="6"/>
  <c r="N272" i="6"/>
  <c r="R272" i="6" s="1"/>
  <c r="K272" i="6"/>
  <c r="J272" i="6"/>
  <c r="Q272" i="6" s="1"/>
  <c r="V271" i="6"/>
  <c r="U271" i="6"/>
  <c r="Q271" i="6"/>
  <c r="N271" i="6"/>
  <c r="K271" i="6"/>
  <c r="J271" i="6"/>
  <c r="V270" i="6"/>
  <c r="U270" i="6"/>
  <c r="R270" i="6"/>
  <c r="Q270" i="6"/>
  <c r="N270" i="6"/>
  <c r="W270" i="6" s="1"/>
  <c r="J270" i="6"/>
  <c r="K270" i="6" s="1"/>
  <c r="W269" i="6"/>
  <c r="V269" i="6"/>
  <c r="U269" i="6"/>
  <c r="Q269" i="6"/>
  <c r="R269" i="6" s="1"/>
  <c r="N269" i="6"/>
  <c r="J269" i="6"/>
  <c r="K269" i="6" s="1"/>
  <c r="V268" i="6"/>
  <c r="P11" i="7" s="1"/>
  <c r="R11" i="7" s="1"/>
  <c r="AE11" i="7" s="1"/>
  <c r="U268" i="6"/>
  <c r="O268" i="6"/>
  <c r="N268" i="6"/>
  <c r="W268" i="6" s="1"/>
  <c r="J268" i="6"/>
  <c r="V267" i="6"/>
  <c r="U267" i="6"/>
  <c r="N267" i="6"/>
  <c r="K267" i="6"/>
  <c r="J267" i="6"/>
  <c r="Q267" i="6" s="1"/>
  <c r="V266" i="6"/>
  <c r="U266" i="6"/>
  <c r="Q266" i="6"/>
  <c r="N266" i="6"/>
  <c r="K266" i="6"/>
  <c r="J266" i="6"/>
  <c r="V265" i="6"/>
  <c r="U265" i="6"/>
  <c r="Q265" i="6"/>
  <c r="R265" i="6" s="1"/>
  <c r="N265" i="6"/>
  <c r="W265" i="6" s="1"/>
  <c r="J265" i="6"/>
  <c r="K265" i="6" s="1"/>
  <c r="V264" i="6"/>
  <c r="U264" i="6"/>
  <c r="N264" i="6"/>
  <c r="W264" i="6" s="1"/>
  <c r="J264" i="6"/>
  <c r="W263" i="6"/>
  <c r="V263" i="6"/>
  <c r="U263" i="6"/>
  <c r="Q263" i="6"/>
  <c r="R263" i="6" s="1"/>
  <c r="N263" i="6"/>
  <c r="J263" i="6"/>
  <c r="K263" i="6" s="1"/>
  <c r="V262" i="6"/>
  <c r="U262" i="6"/>
  <c r="N262" i="6"/>
  <c r="K262" i="6"/>
  <c r="J262" i="6"/>
  <c r="W261" i="6"/>
  <c r="V261" i="6"/>
  <c r="U261" i="6"/>
  <c r="N261" i="6"/>
  <c r="J261" i="6"/>
  <c r="W260" i="6"/>
  <c r="V260" i="6"/>
  <c r="U260" i="6"/>
  <c r="N260" i="6"/>
  <c r="J260" i="6"/>
  <c r="V259" i="6"/>
  <c r="U259" i="6"/>
  <c r="N259" i="6"/>
  <c r="J259" i="6"/>
  <c r="V258" i="6"/>
  <c r="U258" i="6"/>
  <c r="Q258" i="6"/>
  <c r="N258" i="6"/>
  <c r="J258" i="6"/>
  <c r="K258" i="6" s="1"/>
  <c r="W257" i="6"/>
  <c r="V257" i="6"/>
  <c r="U257" i="6"/>
  <c r="R257" i="6"/>
  <c r="Q257" i="6"/>
  <c r="N257" i="6"/>
  <c r="K257" i="6"/>
  <c r="J257" i="6"/>
  <c r="V256" i="6"/>
  <c r="U256" i="6"/>
  <c r="N256" i="6"/>
  <c r="K256" i="6"/>
  <c r="J256" i="6"/>
  <c r="Q256" i="6" s="1"/>
  <c r="V255" i="6"/>
  <c r="U255" i="6"/>
  <c r="N255" i="6"/>
  <c r="R255" i="6" s="1"/>
  <c r="K255" i="6"/>
  <c r="J255" i="6"/>
  <c r="Q255" i="6" s="1"/>
  <c r="W254" i="6"/>
  <c r="V254" i="6"/>
  <c r="U254" i="6"/>
  <c r="N254" i="6"/>
  <c r="J254" i="6"/>
  <c r="V253" i="6"/>
  <c r="U253" i="6"/>
  <c r="N253" i="6"/>
  <c r="J253" i="6"/>
  <c r="V252" i="6"/>
  <c r="U252" i="6"/>
  <c r="Q252" i="6"/>
  <c r="N252" i="6"/>
  <c r="J252" i="6"/>
  <c r="K252" i="6" s="1"/>
  <c r="W251" i="6"/>
  <c r="V251" i="6"/>
  <c r="U251" i="6"/>
  <c r="R251" i="6"/>
  <c r="Q251" i="6"/>
  <c r="N251" i="6"/>
  <c r="K251" i="6"/>
  <c r="J251" i="6"/>
  <c r="W250" i="6"/>
  <c r="V250" i="6"/>
  <c r="U250" i="6"/>
  <c r="N250" i="6"/>
  <c r="J250" i="6"/>
  <c r="V249" i="6"/>
  <c r="U249" i="6"/>
  <c r="N249" i="6"/>
  <c r="J249" i="6"/>
  <c r="V248" i="6"/>
  <c r="U248" i="6"/>
  <c r="N248" i="6"/>
  <c r="K248" i="6"/>
  <c r="J248" i="6"/>
  <c r="W247" i="6"/>
  <c r="V247" i="6"/>
  <c r="U247" i="6"/>
  <c r="Q247" i="6"/>
  <c r="N247" i="6"/>
  <c r="R247" i="6" s="1"/>
  <c r="K247" i="6"/>
  <c r="J247" i="6"/>
  <c r="V246" i="6"/>
  <c r="U246" i="6"/>
  <c r="R246" i="6"/>
  <c r="Q246" i="6"/>
  <c r="N246" i="6"/>
  <c r="W246" i="6" s="1"/>
  <c r="J246" i="6"/>
  <c r="K246" i="6" s="1"/>
  <c r="V245" i="6"/>
  <c r="U245" i="6"/>
  <c r="N245" i="6"/>
  <c r="W245" i="6" s="1"/>
  <c r="J245" i="6"/>
  <c r="K245" i="6" s="1"/>
  <c r="V244" i="6"/>
  <c r="U244" i="6"/>
  <c r="Q244" i="6"/>
  <c r="N244" i="6"/>
  <c r="K244" i="6"/>
  <c r="J244" i="6"/>
  <c r="V243" i="6"/>
  <c r="U243" i="6"/>
  <c r="N243" i="6"/>
  <c r="J243" i="6"/>
  <c r="W242" i="6"/>
  <c r="V242" i="6"/>
  <c r="U242" i="6"/>
  <c r="Q242" i="6"/>
  <c r="R242" i="6" s="1"/>
  <c r="N242" i="6"/>
  <c r="K242" i="6"/>
  <c r="J242" i="6"/>
  <c r="W241" i="6"/>
  <c r="V241" i="6"/>
  <c r="U241" i="6"/>
  <c r="N241" i="6"/>
  <c r="J241" i="6"/>
  <c r="V240" i="6"/>
  <c r="U240" i="6"/>
  <c r="N240" i="6"/>
  <c r="W240" i="6" s="1"/>
  <c r="J240" i="6"/>
  <c r="V239" i="6"/>
  <c r="U239" i="6"/>
  <c r="Q239" i="6"/>
  <c r="N239" i="6"/>
  <c r="R239" i="6" s="1"/>
  <c r="K239" i="6"/>
  <c r="J239" i="6"/>
  <c r="W238" i="6"/>
  <c r="V238" i="6"/>
  <c r="U238" i="6"/>
  <c r="N238" i="6"/>
  <c r="J238" i="6"/>
  <c r="W237" i="6"/>
  <c r="V237" i="6"/>
  <c r="U237" i="6"/>
  <c r="N237" i="6"/>
  <c r="R237" i="6" s="1"/>
  <c r="J237" i="6"/>
  <c r="Q237" i="6" s="1"/>
  <c r="V236" i="6"/>
  <c r="U236" i="6"/>
  <c r="Q236" i="6"/>
  <c r="N236" i="6"/>
  <c r="J236" i="6"/>
  <c r="V235" i="6"/>
  <c r="U235" i="6"/>
  <c r="Q235" i="6"/>
  <c r="P235" i="6"/>
  <c r="O235" i="6"/>
  <c r="N235" i="6"/>
  <c r="K235" i="6"/>
  <c r="J235" i="6"/>
  <c r="V234" i="6"/>
  <c r="U234" i="6"/>
  <c r="Q234" i="6"/>
  <c r="R234" i="6" s="1"/>
  <c r="N234" i="6"/>
  <c r="W234" i="6" s="1"/>
  <c r="J234" i="6"/>
  <c r="K234" i="6" s="1"/>
  <c r="V233" i="6"/>
  <c r="U233" i="6"/>
  <c r="N233" i="6"/>
  <c r="J233" i="6"/>
  <c r="K233" i="6" s="1"/>
  <c r="V232" i="6"/>
  <c r="U232" i="6"/>
  <c r="Q232" i="6"/>
  <c r="N232" i="6"/>
  <c r="K232" i="6"/>
  <c r="J232" i="6"/>
  <c r="W231" i="6"/>
  <c r="V231" i="6"/>
  <c r="U231" i="6"/>
  <c r="N231" i="6"/>
  <c r="J231" i="6"/>
  <c r="W230" i="6"/>
  <c r="V230" i="6"/>
  <c r="U230" i="6"/>
  <c r="R230" i="6"/>
  <c r="Q230" i="6"/>
  <c r="N230" i="6"/>
  <c r="K230" i="6"/>
  <c r="J230" i="6"/>
  <c r="W229" i="6"/>
  <c r="V229" i="6"/>
  <c r="U229" i="6"/>
  <c r="R229" i="6"/>
  <c r="Q229" i="6"/>
  <c r="N229" i="6"/>
  <c r="J229" i="6"/>
  <c r="V228" i="6"/>
  <c r="U228" i="6"/>
  <c r="N228" i="6"/>
  <c r="J228" i="6"/>
  <c r="V227" i="6"/>
  <c r="U227" i="6"/>
  <c r="Q227" i="6"/>
  <c r="N227" i="6"/>
  <c r="R227" i="6" s="1"/>
  <c r="K227" i="6"/>
  <c r="J227" i="6"/>
  <c r="W226" i="6"/>
  <c r="V226" i="6"/>
  <c r="U226" i="6"/>
  <c r="N226" i="6"/>
  <c r="J226" i="6"/>
  <c r="V225" i="6"/>
  <c r="U225" i="6"/>
  <c r="N225" i="6"/>
  <c r="R225" i="6" s="1"/>
  <c r="K225" i="6"/>
  <c r="J225" i="6"/>
  <c r="Q225" i="6" s="1"/>
  <c r="V224" i="6"/>
  <c r="U224" i="6"/>
  <c r="N224" i="6"/>
  <c r="K224" i="6"/>
  <c r="J224" i="6"/>
  <c r="W223" i="6"/>
  <c r="V223" i="6"/>
  <c r="U223" i="6"/>
  <c r="Q223" i="6"/>
  <c r="N223" i="6"/>
  <c r="K223" i="6"/>
  <c r="J223" i="6"/>
  <c r="V222" i="6"/>
  <c r="U222" i="6"/>
  <c r="Q222" i="6"/>
  <c r="N222" i="6"/>
  <c r="W222" i="6" s="1"/>
  <c r="J222" i="6"/>
  <c r="K222" i="6" s="1"/>
  <c r="V221" i="6"/>
  <c r="U221" i="6"/>
  <c r="N221" i="6"/>
  <c r="W221" i="6" s="1"/>
  <c r="J221" i="6"/>
  <c r="K221" i="6" s="1"/>
  <c r="V220" i="6"/>
  <c r="U220" i="6"/>
  <c r="Q220" i="6"/>
  <c r="N220" i="6"/>
  <c r="K220" i="6"/>
  <c r="J220" i="6"/>
  <c r="W219" i="6"/>
  <c r="V219" i="6"/>
  <c r="U219" i="6"/>
  <c r="N219" i="6"/>
  <c r="J219" i="6"/>
  <c r="W218" i="6"/>
  <c r="V218" i="6"/>
  <c r="U218" i="6"/>
  <c r="R218" i="6"/>
  <c r="Q218" i="6"/>
  <c r="N218" i="6"/>
  <c r="K218" i="6"/>
  <c r="J218" i="6"/>
  <c r="W217" i="6"/>
  <c r="V217" i="6"/>
  <c r="U217" i="6"/>
  <c r="N217" i="6"/>
  <c r="J217" i="6"/>
  <c r="V216" i="6"/>
  <c r="U216" i="6"/>
  <c r="N216" i="6"/>
  <c r="W216" i="6" s="1"/>
  <c r="J216" i="6"/>
  <c r="V215" i="6"/>
  <c r="U215" i="6"/>
  <c r="Q215" i="6"/>
  <c r="N215" i="6"/>
  <c r="R215" i="6" s="1"/>
  <c r="K215" i="6"/>
  <c r="J215" i="6"/>
  <c r="V214" i="6"/>
  <c r="U214" i="6"/>
  <c r="R214" i="6"/>
  <c r="P214" i="6"/>
  <c r="O214" i="6"/>
  <c r="N214" i="6"/>
  <c r="W214" i="6" s="1"/>
  <c r="J214" i="6"/>
  <c r="Q214" i="6" s="1"/>
  <c r="V213" i="6"/>
  <c r="U213" i="6"/>
  <c r="N213" i="6"/>
  <c r="K213" i="6"/>
  <c r="J213" i="6"/>
  <c r="W212" i="6"/>
  <c r="V212" i="6"/>
  <c r="U212" i="6"/>
  <c r="N212" i="6"/>
  <c r="J212" i="6"/>
  <c r="V211" i="6"/>
  <c r="U211" i="6"/>
  <c r="Q211" i="6"/>
  <c r="R211" i="6" s="1"/>
  <c r="N211" i="6"/>
  <c r="W211" i="6" s="1"/>
  <c r="J211" i="6"/>
  <c r="V210" i="6"/>
  <c r="U210" i="6"/>
  <c r="N210" i="6"/>
  <c r="J210" i="6"/>
  <c r="V209" i="6"/>
  <c r="U209" i="6"/>
  <c r="Q209" i="6"/>
  <c r="N209" i="6"/>
  <c r="K209" i="6"/>
  <c r="J209" i="6"/>
  <c r="V208" i="6"/>
  <c r="U208" i="6"/>
  <c r="Q208" i="6"/>
  <c r="N208" i="6"/>
  <c r="W208" i="6" s="1"/>
  <c r="J208" i="6"/>
  <c r="K208" i="6" s="1"/>
  <c r="W207" i="6"/>
  <c r="V207" i="6"/>
  <c r="U207" i="6"/>
  <c r="R207" i="6"/>
  <c r="N207" i="6"/>
  <c r="K207" i="6"/>
  <c r="J207" i="6"/>
  <c r="Q207" i="6" s="1"/>
  <c r="V206" i="6"/>
  <c r="U206" i="6"/>
  <c r="Q206" i="6"/>
  <c r="N206" i="6"/>
  <c r="J206" i="6"/>
  <c r="K206" i="6" s="1"/>
  <c r="W205" i="6"/>
  <c r="V205" i="6"/>
  <c r="U205" i="6"/>
  <c r="Q205" i="6"/>
  <c r="N205" i="6"/>
  <c r="R205" i="6" s="1"/>
  <c r="K205" i="6"/>
  <c r="J205" i="6"/>
  <c r="V204" i="6"/>
  <c r="U204" i="6"/>
  <c r="Q204" i="6"/>
  <c r="N204" i="6"/>
  <c r="W204" i="6" s="1"/>
  <c r="J204" i="6"/>
  <c r="K204" i="6" s="1"/>
  <c r="V203" i="6"/>
  <c r="U203" i="6"/>
  <c r="N203" i="6"/>
  <c r="J203" i="6"/>
  <c r="V202" i="6"/>
  <c r="U202" i="6"/>
  <c r="Q202" i="6"/>
  <c r="N202" i="6"/>
  <c r="J202" i="6"/>
  <c r="W201" i="6"/>
  <c r="V201" i="6"/>
  <c r="U201" i="6"/>
  <c r="N201" i="6"/>
  <c r="K201" i="6"/>
  <c r="J201" i="6"/>
  <c r="V200" i="6"/>
  <c r="U200" i="6"/>
  <c r="Q200" i="6"/>
  <c r="N200" i="6"/>
  <c r="K200" i="6"/>
  <c r="J200" i="6"/>
  <c r="V199" i="6"/>
  <c r="U199" i="6"/>
  <c r="N199" i="6"/>
  <c r="J199" i="6"/>
  <c r="W198" i="6"/>
  <c r="V198" i="6"/>
  <c r="U198" i="6"/>
  <c r="R198" i="6"/>
  <c r="Q198" i="6"/>
  <c r="N198" i="6"/>
  <c r="K198" i="6"/>
  <c r="J198" i="6"/>
  <c r="V197" i="6"/>
  <c r="U197" i="6"/>
  <c r="Q197" i="6"/>
  <c r="N197" i="6"/>
  <c r="J197" i="6"/>
  <c r="V196" i="6"/>
  <c r="U196" i="6"/>
  <c r="N196" i="6"/>
  <c r="J196" i="6"/>
  <c r="W195" i="6"/>
  <c r="V195" i="6"/>
  <c r="U195" i="6"/>
  <c r="N195" i="6"/>
  <c r="K195" i="6"/>
  <c r="J195" i="6"/>
  <c r="W194" i="6"/>
  <c r="V194" i="6"/>
  <c r="U194" i="6"/>
  <c r="Q194" i="6"/>
  <c r="N194" i="6"/>
  <c r="K194" i="6"/>
  <c r="J194" i="6"/>
  <c r="W193" i="6"/>
  <c r="V193" i="6"/>
  <c r="U193" i="6"/>
  <c r="N193" i="6"/>
  <c r="J193" i="6"/>
  <c r="W192" i="6"/>
  <c r="V192" i="6"/>
  <c r="U192" i="6"/>
  <c r="Q192" i="6"/>
  <c r="R192" i="6" s="1"/>
  <c r="N192" i="6"/>
  <c r="K192" i="6"/>
  <c r="J192" i="6"/>
  <c r="V191" i="6"/>
  <c r="U191" i="6"/>
  <c r="N191" i="6"/>
  <c r="W191" i="6" s="1"/>
  <c r="K191" i="6"/>
  <c r="J191" i="6"/>
  <c r="V190" i="6"/>
  <c r="U190" i="6"/>
  <c r="N190" i="6"/>
  <c r="J190" i="6"/>
  <c r="W189" i="6"/>
  <c r="V189" i="6"/>
  <c r="U189" i="6"/>
  <c r="N189" i="6"/>
  <c r="J189" i="6"/>
  <c r="W188" i="6"/>
  <c r="V188" i="6"/>
  <c r="U188" i="6"/>
  <c r="Q188" i="6"/>
  <c r="R188" i="6" s="1"/>
  <c r="N188" i="6"/>
  <c r="K188" i="6"/>
  <c r="J188" i="6"/>
  <c r="W187" i="6"/>
  <c r="V187" i="6"/>
  <c r="U187" i="6"/>
  <c r="R187" i="6"/>
  <c r="N187" i="6"/>
  <c r="K187" i="6"/>
  <c r="J187" i="6"/>
  <c r="Q187" i="6" s="1"/>
  <c r="W186" i="6"/>
  <c r="V186" i="6"/>
  <c r="U186" i="6"/>
  <c r="N186" i="6"/>
  <c r="J186" i="6"/>
  <c r="V185" i="6"/>
  <c r="U185" i="6"/>
  <c r="N185" i="6"/>
  <c r="J185" i="6"/>
  <c r="V184" i="6"/>
  <c r="U184" i="6"/>
  <c r="N184" i="6"/>
  <c r="J184" i="6"/>
  <c r="V183" i="6"/>
  <c r="U183" i="6"/>
  <c r="N183" i="6"/>
  <c r="J183" i="6"/>
  <c r="V182" i="6"/>
  <c r="U182" i="6"/>
  <c r="Q182" i="6"/>
  <c r="N182" i="6"/>
  <c r="R182" i="6" s="1"/>
  <c r="K182" i="6"/>
  <c r="J182" i="6"/>
  <c r="V181" i="6"/>
  <c r="U181" i="6"/>
  <c r="N181" i="6"/>
  <c r="J181" i="6"/>
  <c r="W180" i="6"/>
  <c r="V180" i="6"/>
  <c r="U180" i="6"/>
  <c r="Q180" i="6"/>
  <c r="R180" i="6" s="1"/>
  <c r="N180" i="6"/>
  <c r="K180" i="6"/>
  <c r="J180" i="6"/>
  <c r="V179" i="6"/>
  <c r="U179" i="6"/>
  <c r="Q179" i="6"/>
  <c r="R179" i="6" s="1"/>
  <c r="N179" i="6"/>
  <c r="W179" i="6" s="1"/>
  <c r="J179" i="6"/>
  <c r="V178" i="6"/>
  <c r="U178" i="6"/>
  <c r="Q178" i="6"/>
  <c r="N178" i="6"/>
  <c r="L178" i="6"/>
  <c r="J178" i="6"/>
  <c r="K178" i="6" s="1"/>
  <c r="V177" i="6"/>
  <c r="U177" i="6"/>
  <c r="Q177" i="6"/>
  <c r="N177" i="6"/>
  <c r="W177" i="6" s="1"/>
  <c r="K177" i="6"/>
  <c r="J177" i="6"/>
  <c r="V176" i="6"/>
  <c r="U176" i="6"/>
  <c r="R176" i="6"/>
  <c r="Q176" i="6"/>
  <c r="N176" i="6"/>
  <c r="W176" i="6" s="1"/>
  <c r="K176" i="6"/>
  <c r="J176" i="6"/>
  <c r="V175" i="6"/>
  <c r="U175" i="6"/>
  <c r="R175" i="6"/>
  <c r="N175" i="6"/>
  <c r="W175" i="6" s="1"/>
  <c r="J175" i="6"/>
  <c r="Q175" i="6" s="1"/>
  <c r="W174" i="6"/>
  <c r="V174" i="6"/>
  <c r="U174" i="6"/>
  <c r="R174" i="6"/>
  <c r="Q174" i="6"/>
  <c r="P174" i="6"/>
  <c r="O174" i="6"/>
  <c r="T174" i="6" s="1"/>
  <c r="N174" i="6"/>
  <c r="J174" i="6"/>
  <c r="K174" i="6" s="1"/>
  <c r="W173" i="6"/>
  <c r="V173" i="6"/>
  <c r="U173" i="6"/>
  <c r="N173" i="6"/>
  <c r="J173" i="6"/>
  <c r="V172" i="6"/>
  <c r="U172" i="6"/>
  <c r="N172" i="6"/>
  <c r="J172" i="6"/>
  <c r="V171" i="6"/>
  <c r="U171" i="6"/>
  <c r="N171" i="6"/>
  <c r="W171" i="6" s="1"/>
  <c r="J171" i="6"/>
  <c r="V170" i="6"/>
  <c r="U170" i="6"/>
  <c r="N170" i="6"/>
  <c r="F12" i="5" s="1"/>
  <c r="D73" i="1" s="1"/>
  <c r="K170" i="6"/>
  <c r="J170" i="6"/>
  <c r="Q170" i="6" s="1"/>
  <c r="W169" i="6"/>
  <c r="V169" i="6"/>
  <c r="U169" i="6"/>
  <c r="R169" i="6"/>
  <c r="N169" i="6"/>
  <c r="K169" i="6"/>
  <c r="J169" i="6"/>
  <c r="Q169" i="6" s="1"/>
  <c r="W168" i="6"/>
  <c r="V168" i="6"/>
  <c r="U168" i="6"/>
  <c r="Q168" i="6"/>
  <c r="R168" i="6" s="1"/>
  <c r="N168" i="6"/>
  <c r="J168" i="6"/>
  <c r="K168" i="6" s="1"/>
  <c r="V167" i="6"/>
  <c r="U167" i="6"/>
  <c r="N167" i="6"/>
  <c r="K167" i="6"/>
  <c r="J167" i="6"/>
  <c r="V166" i="6"/>
  <c r="U166" i="6"/>
  <c r="N166" i="6"/>
  <c r="W166" i="6" s="1"/>
  <c r="J166" i="6"/>
  <c r="W165" i="6"/>
  <c r="V165" i="6"/>
  <c r="U165" i="6"/>
  <c r="Q165" i="6"/>
  <c r="N165" i="6"/>
  <c r="K165" i="6"/>
  <c r="J165" i="6"/>
  <c r="W164" i="6"/>
  <c r="V164" i="6"/>
  <c r="U164" i="6"/>
  <c r="R164" i="6"/>
  <c r="Q164" i="6"/>
  <c r="N164" i="6"/>
  <c r="K164" i="6"/>
  <c r="J164" i="6"/>
  <c r="W163" i="6"/>
  <c r="V163" i="6"/>
  <c r="U163" i="6"/>
  <c r="N163" i="6"/>
  <c r="J163" i="6"/>
  <c r="W162" i="6"/>
  <c r="V162" i="6"/>
  <c r="U162" i="6"/>
  <c r="N162" i="6"/>
  <c r="K162" i="6"/>
  <c r="J162" i="6"/>
  <c r="V161" i="6"/>
  <c r="U161" i="6"/>
  <c r="Q161" i="6"/>
  <c r="N161" i="6"/>
  <c r="W161" i="6" s="1"/>
  <c r="J161" i="6"/>
  <c r="K161" i="6" s="1"/>
  <c r="V160" i="6"/>
  <c r="U160" i="6"/>
  <c r="Q160" i="6"/>
  <c r="R160" i="6" s="1"/>
  <c r="N160" i="6"/>
  <c r="W160" i="6" s="1"/>
  <c r="J160" i="6"/>
  <c r="K160" i="6" s="1"/>
  <c r="V159" i="6"/>
  <c r="U159" i="6"/>
  <c r="N159" i="6"/>
  <c r="J159" i="6"/>
  <c r="K159" i="6" s="1"/>
  <c r="V158" i="6"/>
  <c r="U158" i="6"/>
  <c r="N158" i="6"/>
  <c r="W158" i="6" s="1"/>
  <c r="K158" i="6"/>
  <c r="J158" i="6"/>
  <c r="W157" i="6"/>
  <c r="V157" i="6"/>
  <c r="U157" i="6"/>
  <c r="R157" i="6"/>
  <c r="N157" i="6"/>
  <c r="K157" i="6"/>
  <c r="J157" i="6"/>
  <c r="Q157" i="6" s="1"/>
  <c r="W156" i="6"/>
  <c r="V156" i="6"/>
  <c r="U156" i="6"/>
  <c r="R156" i="6"/>
  <c r="Q156" i="6"/>
  <c r="N156" i="6"/>
  <c r="J156" i="6"/>
  <c r="K156" i="6" s="1"/>
  <c r="V155" i="6"/>
  <c r="U155" i="6"/>
  <c r="N155" i="6"/>
  <c r="W155" i="6" s="1"/>
  <c r="K155" i="6"/>
  <c r="J155" i="6"/>
  <c r="V154" i="6"/>
  <c r="U154" i="6"/>
  <c r="N154" i="6"/>
  <c r="W154" i="6" s="1"/>
  <c r="J154" i="6"/>
  <c r="W153" i="6"/>
  <c r="V153" i="6"/>
  <c r="U153" i="6"/>
  <c r="Q153" i="6"/>
  <c r="N153" i="6"/>
  <c r="K153" i="6"/>
  <c r="J153" i="6"/>
  <c r="W152" i="6"/>
  <c r="V152" i="6"/>
  <c r="U152" i="6"/>
  <c r="N152" i="6"/>
  <c r="K152" i="6"/>
  <c r="J152" i="6"/>
  <c r="W151" i="6"/>
  <c r="V151" i="6"/>
  <c r="U151" i="6"/>
  <c r="N151" i="6"/>
  <c r="J151" i="6"/>
  <c r="V150" i="6"/>
  <c r="U150" i="6"/>
  <c r="N150" i="6"/>
  <c r="W150" i="6" s="1"/>
  <c r="J150" i="6"/>
  <c r="V149" i="6"/>
  <c r="U149" i="6"/>
  <c r="Q149" i="6"/>
  <c r="N149" i="6"/>
  <c r="J149" i="6"/>
  <c r="K149" i="6" s="1"/>
  <c r="V148" i="6"/>
  <c r="U148" i="6"/>
  <c r="R148" i="6"/>
  <c r="Q148" i="6"/>
  <c r="N148" i="6"/>
  <c r="W148" i="6" s="1"/>
  <c r="J148" i="6"/>
  <c r="K148" i="6" s="1"/>
  <c r="W147" i="6"/>
  <c r="V147" i="6"/>
  <c r="T147" i="6"/>
  <c r="Q147" i="6"/>
  <c r="R147" i="6" s="1"/>
  <c r="N147" i="6"/>
  <c r="L147" i="6"/>
  <c r="K147" i="6"/>
  <c r="M147" i="6" s="1"/>
  <c r="J147" i="6"/>
  <c r="W146" i="6"/>
  <c r="V146" i="6"/>
  <c r="U146" i="6"/>
  <c r="N146" i="6"/>
  <c r="J146" i="6"/>
  <c r="W145" i="6"/>
  <c r="V145" i="6"/>
  <c r="U145" i="6"/>
  <c r="R145" i="6"/>
  <c r="N145" i="6"/>
  <c r="K145" i="6"/>
  <c r="J145" i="6"/>
  <c r="Q145" i="6" s="1"/>
  <c r="W144" i="6"/>
  <c r="V144" i="6"/>
  <c r="U144" i="6"/>
  <c r="Q144" i="6"/>
  <c r="R144" i="6" s="1"/>
  <c r="N144" i="6"/>
  <c r="J144" i="6"/>
  <c r="K144" i="6" s="1"/>
  <c r="W143" i="6"/>
  <c r="V143" i="6"/>
  <c r="U143" i="6"/>
  <c r="N143" i="6"/>
  <c r="K143" i="6"/>
  <c r="J143" i="6"/>
  <c r="V142" i="6"/>
  <c r="U142" i="6"/>
  <c r="N142" i="6"/>
  <c r="W142" i="6" s="1"/>
  <c r="L142" i="6"/>
  <c r="J142" i="6"/>
  <c r="W141" i="6"/>
  <c r="V141" i="6"/>
  <c r="U141" i="6"/>
  <c r="Q141" i="6"/>
  <c r="N141" i="6"/>
  <c r="R141" i="6" s="1"/>
  <c r="K141" i="6"/>
  <c r="J141" i="6"/>
  <c r="W140" i="6"/>
  <c r="V140" i="6"/>
  <c r="U140" i="6"/>
  <c r="N140" i="6"/>
  <c r="J140" i="6"/>
  <c r="W139" i="6"/>
  <c r="V139" i="6"/>
  <c r="U139" i="6"/>
  <c r="N139" i="6"/>
  <c r="L139" i="6"/>
  <c r="J139" i="6"/>
  <c r="V138" i="6"/>
  <c r="U138" i="6"/>
  <c r="N138" i="6"/>
  <c r="W138" i="6" s="1"/>
  <c r="K138" i="6"/>
  <c r="J138" i="6"/>
  <c r="V137" i="6"/>
  <c r="U137" i="6"/>
  <c r="Q137" i="6"/>
  <c r="N137" i="6"/>
  <c r="J137" i="6"/>
  <c r="K137" i="6" s="1"/>
  <c r="V136" i="6"/>
  <c r="U136" i="6"/>
  <c r="R136" i="6"/>
  <c r="Q136" i="6"/>
  <c r="N136" i="6"/>
  <c r="W136" i="6" s="1"/>
  <c r="J136" i="6"/>
  <c r="K136" i="6" s="1"/>
  <c r="W135" i="6"/>
  <c r="V135" i="6"/>
  <c r="U135" i="6"/>
  <c r="Q135" i="6"/>
  <c r="N135" i="6"/>
  <c r="R135" i="6" s="1"/>
  <c r="J135" i="6"/>
  <c r="K135" i="6" s="1"/>
  <c r="W134" i="6"/>
  <c r="V134" i="6"/>
  <c r="U134" i="6"/>
  <c r="R134" i="6"/>
  <c r="N134" i="6"/>
  <c r="K134" i="6"/>
  <c r="J134" i="6"/>
  <c r="Q134" i="6" s="1"/>
  <c r="W133" i="6"/>
  <c r="V133" i="6"/>
  <c r="U133" i="6"/>
  <c r="R133" i="6"/>
  <c r="N133" i="6"/>
  <c r="K133" i="6"/>
  <c r="J133" i="6"/>
  <c r="Q133" i="6" s="1"/>
  <c r="W132" i="6"/>
  <c r="V132" i="6"/>
  <c r="U132" i="6"/>
  <c r="Q132" i="6"/>
  <c r="R132" i="6" s="1"/>
  <c r="N132" i="6"/>
  <c r="J132" i="6"/>
  <c r="K132" i="6" s="1"/>
  <c r="V131" i="6"/>
  <c r="U131" i="6"/>
  <c r="N131" i="6"/>
  <c r="J131" i="6"/>
  <c r="V130" i="6"/>
  <c r="U130" i="6"/>
  <c r="N130" i="6"/>
  <c r="W130" i="6" s="1"/>
  <c r="J130" i="6"/>
  <c r="W129" i="6"/>
  <c r="V129" i="6"/>
  <c r="U129" i="6"/>
  <c r="N129" i="6"/>
  <c r="J129" i="6"/>
  <c r="W128" i="6"/>
  <c r="V128" i="6"/>
  <c r="U128" i="6"/>
  <c r="N128" i="6"/>
  <c r="J128" i="6"/>
  <c r="W127" i="6"/>
  <c r="V127" i="6"/>
  <c r="U127" i="6"/>
  <c r="N127" i="6"/>
  <c r="K127" i="6"/>
  <c r="J127" i="6"/>
  <c r="V126" i="6"/>
  <c r="U126" i="6"/>
  <c r="N126" i="6"/>
  <c r="J126" i="6"/>
  <c r="V125" i="6"/>
  <c r="U125" i="6"/>
  <c r="Q125" i="6"/>
  <c r="N125" i="6"/>
  <c r="J125" i="6"/>
  <c r="K125" i="6" s="1"/>
  <c r="V124" i="6"/>
  <c r="U124" i="6"/>
  <c r="N124" i="6"/>
  <c r="J124" i="6"/>
  <c r="W123" i="6"/>
  <c r="V123" i="6"/>
  <c r="U123" i="6"/>
  <c r="R123" i="6"/>
  <c r="Q123" i="6"/>
  <c r="N123" i="6"/>
  <c r="K123" i="6"/>
  <c r="J123" i="6"/>
  <c r="V122" i="6"/>
  <c r="U122" i="6"/>
  <c r="N122" i="6"/>
  <c r="J122" i="6"/>
  <c r="W121" i="6"/>
  <c r="V121" i="6"/>
  <c r="U121" i="6"/>
  <c r="N121" i="6"/>
  <c r="J121" i="6"/>
  <c r="V120" i="6"/>
  <c r="U120" i="6"/>
  <c r="Q120" i="6"/>
  <c r="N120" i="6"/>
  <c r="K120" i="6"/>
  <c r="J120" i="6"/>
  <c r="W119" i="6"/>
  <c r="V119" i="6"/>
  <c r="T119" i="6"/>
  <c r="Q119" i="6"/>
  <c r="N119" i="6"/>
  <c r="R119" i="6" s="1"/>
  <c r="L119" i="6"/>
  <c r="K119" i="6"/>
  <c r="M119" i="6" s="1"/>
  <c r="J119" i="6"/>
  <c r="V118" i="6"/>
  <c r="T118" i="6"/>
  <c r="Q118" i="6"/>
  <c r="N118" i="6"/>
  <c r="M118" i="6"/>
  <c r="L118" i="6"/>
  <c r="K118" i="6"/>
  <c r="J118" i="6"/>
  <c r="W117" i="6"/>
  <c r="V117" i="6"/>
  <c r="U117" i="6"/>
  <c r="R117" i="6"/>
  <c r="Q117" i="6"/>
  <c r="P117" i="6"/>
  <c r="O117" i="6"/>
  <c r="T117" i="6" s="1"/>
  <c r="N117" i="6"/>
  <c r="K117" i="6"/>
  <c r="J117" i="6"/>
  <c r="V116" i="6"/>
  <c r="U116" i="6"/>
  <c r="N116" i="6"/>
  <c r="W116" i="6" s="1"/>
  <c r="J116" i="6"/>
  <c r="W115" i="6"/>
  <c r="V115" i="6"/>
  <c r="U115" i="6"/>
  <c r="N115" i="6"/>
  <c r="R115" i="6" s="1"/>
  <c r="K115" i="6"/>
  <c r="J115" i="6"/>
  <c r="Q115" i="6" s="1"/>
  <c r="W114" i="6"/>
  <c r="V114" i="6"/>
  <c r="U114" i="6"/>
  <c r="Q114" i="6"/>
  <c r="N114" i="6"/>
  <c r="R114" i="6" s="1"/>
  <c r="K114" i="6"/>
  <c r="J114" i="6"/>
  <c r="W113" i="6"/>
  <c r="V113" i="6"/>
  <c r="U113" i="6"/>
  <c r="Q113" i="6"/>
  <c r="N113" i="6"/>
  <c r="R113" i="6" s="1"/>
  <c r="K113" i="6"/>
  <c r="J113" i="6"/>
  <c r="V112" i="6"/>
  <c r="U112" i="6"/>
  <c r="N112" i="6"/>
  <c r="J112" i="6"/>
  <c r="W111" i="6"/>
  <c r="V111" i="6"/>
  <c r="U111" i="6"/>
  <c r="R111" i="6"/>
  <c r="Q111" i="6"/>
  <c r="N111" i="6"/>
  <c r="K111" i="6"/>
  <c r="J111" i="6"/>
  <c r="V110" i="6"/>
  <c r="U110" i="6"/>
  <c r="N110" i="6"/>
  <c r="J110" i="6"/>
  <c r="W109" i="6"/>
  <c r="V109" i="6"/>
  <c r="U109" i="6"/>
  <c r="N109" i="6"/>
  <c r="K109" i="6"/>
  <c r="J109" i="6"/>
  <c r="W108" i="6"/>
  <c r="V108" i="6"/>
  <c r="U108" i="6"/>
  <c r="R108" i="6"/>
  <c r="Q108" i="6"/>
  <c r="N108" i="6"/>
  <c r="K108" i="6"/>
  <c r="J108" i="6"/>
  <c r="W107" i="6"/>
  <c r="V107" i="6"/>
  <c r="U107" i="6"/>
  <c r="Q107" i="6"/>
  <c r="N107" i="6"/>
  <c r="K107" i="6"/>
  <c r="J107" i="6"/>
  <c r="V106" i="6"/>
  <c r="U106" i="6"/>
  <c r="R106" i="6"/>
  <c r="Q106" i="6"/>
  <c r="N106" i="6"/>
  <c r="W106" i="6" s="1"/>
  <c r="J106" i="6"/>
  <c r="K106" i="6" s="1"/>
  <c r="W105" i="6"/>
  <c r="V105" i="6"/>
  <c r="U105" i="6"/>
  <c r="Q105" i="6"/>
  <c r="R105" i="6" s="1"/>
  <c r="N105" i="6"/>
  <c r="K105" i="6"/>
  <c r="J105" i="6"/>
  <c r="W104" i="6"/>
  <c r="V104" i="6"/>
  <c r="U104" i="6"/>
  <c r="Q104" i="6"/>
  <c r="N104" i="6"/>
  <c r="R104" i="6" s="1"/>
  <c r="K104" i="6"/>
  <c r="J104" i="6"/>
  <c r="W103" i="6"/>
  <c r="V103" i="6"/>
  <c r="U103" i="6"/>
  <c r="N103" i="6"/>
  <c r="R103" i="6" s="1"/>
  <c r="K103" i="6"/>
  <c r="J103" i="6"/>
  <c r="Q103" i="6" s="1"/>
  <c r="V102" i="6"/>
  <c r="U102" i="6"/>
  <c r="Q102" i="6"/>
  <c r="N102" i="6"/>
  <c r="K102" i="6"/>
  <c r="J102" i="6"/>
  <c r="V101" i="6"/>
  <c r="U101" i="6"/>
  <c r="R101" i="6"/>
  <c r="Q101" i="6"/>
  <c r="N101" i="6"/>
  <c r="W101" i="6" s="1"/>
  <c r="K101" i="6"/>
  <c r="J101" i="6"/>
  <c r="V100" i="6"/>
  <c r="U100" i="6"/>
  <c r="Q100" i="6"/>
  <c r="O100" i="6"/>
  <c r="N100" i="6"/>
  <c r="W100" i="6" s="1"/>
  <c r="J100" i="6"/>
  <c r="W99" i="6"/>
  <c r="V99" i="6"/>
  <c r="U99" i="6"/>
  <c r="Q99" i="6"/>
  <c r="R99" i="6" s="1"/>
  <c r="N99" i="6"/>
  <c r="K99" i="6"/>
  <c r="J99" i="6"/>
  <c r="W98" i="6"/>
  <c r="V98" i="6"/>
  <c r="U98" i="6"/>
  <c r="N98" i="6"/>
  <c r="J98" i="6"/>
  <c r="V97" i="6"/>
  <c r="U97" i="6"/>
  <c r="N97" i="6"/>
  <c r="R97" i="6" s="1"/>
  <c r="J97" i="6"/>
  <c r="Q97" i="6" s="1"/>
  <c r="V96" i="6"/>
  <c r="U96" i="6"/>
  <c r="N96" i="6"/>
  <c r="W96" i="6" s="1"/>
  <c r="J96" i="6"/>
  <c r="W95" i="6"/>
  <c r="V95" i="6"/>
  <c r="U95" i="6"/>
  <c r="R95" i="6"/>
  <c r="Q95" i="6"/>
  <c r="N95" i="6"/>
  <c r="K95" i="6"/>
  <c r="J95" i="6"/>
  <c r="V94" i="6"/>
  <c r="U94" i="6"/>
  <c r="Q94" i="6"/>
  <c r="N94" i="6"/>
  <c r="J94" i="6"/>
  <c r="W93" i="6"/>
  <c r="V93" i="6"/>
  <c r="U93" i="6"/>
  <c r="Q93" i="6"/>
  <c r="R93" i="6" s="1"/>
  <c r="N93" i="6"/>
  <c r="K93" i="6"/>
  <c r="J93" i="6"/>
  <c r="W92" i="6"/>
  <c r="V92" i="6"/>
  <c r="U92" i="6"/>
  <c r="R92" i="6"/>
  <c r="Q92" i="6"/>
  <c r="N92" i="6"/>
  <c r="K92" i="6"/>
  <c r="J92" i="6"/>
  <c r="W91" i="6"/>
  <c r="V91" i="6"/>
  <c r="U91" i="6"/>
  <c r="N91" i="6"/>
  <c r="K91" i="6"/>
  <c r="J91" i="6"/>
  <c r="Q91" i="6" s="1"/>
  <c r="W90" i="6"/>
  <c r="V90" i="6"/>
  <c r="U90" i="6"/>
  <c r="R90" i="6"/>
  <c r="Q90" i="6"/>
  <c r="N90" i="6"/>
  <c r="K90" i="6"/>
  <c r="J90" i="6"/>
  <c r="V89" i="6"/>
  <c r="U89" i="6"/>
  <c r="Q89" i="6"/>
  <c r="N89" i="6"/>
  <c r="W89" i="6" s="1"/>
  <c r="K89" i="6"/>
  <c r="J89" i="6"/>
  <c r="V88" i="6"/>
  <c r="U88" i="6"/>
  <c r="N88" i="6"/>
  <c r="W88" i="6" s="1"/>
  <c r="J88" i="6"/>
  <c r="W87" i="6"/>
  <c r="V87" i="6"/>
  <c r="U87" i="6"/>
  <c r="R87" i="6"/>
  <c r="N87" i="6"/>
  <c r="J87" i="6"/>
  <c r="Q87" i="6" s="1"/>
  <c r="W86" i="6"/>
  <c r="V86" i="6"/>
  <c r="U86" i="6"/>
  <c r="N86" i="6"/>
  <c r="J86" i="6"/>
  <c r="V85" i="6"/>
  <c r="U85" i="6"/>
  <c r="N85" i="6"/>
  <c r="W85" i="6" s="1"/>
  <c r="J85" i="6"/>
  <c r="V84" i="6"/>
  <c r="U84" i="6"/>
  <c r="Q84" i="6"/>
  <c r="N84" i="6"/>
  <c r="W84" i="6" s="1"/>
  <c r="K84" i="6"/>
  <c r="J84" i="6"/>
  <c r="W83" i="6"/>
  <c r="V83" i="6"/>
  <c r="U83" i="6"/>
  <c r="Q83" i="6"/>
  <c r="N83" i="6"/>
  <c r="R83" i="6" s="1"/>
  <c r="K83" i="6"/>
  <c r="J83" i="6"/>
  <c r="V82" i="6"/>
  <c r="U82" i="6"/>
  <c r="Q82" i="6"/>
  <c r="N82" i="6"/>
  <c r="J82" i="6"/>
  <c r="K82" i="6" s="1"/>
  <c r="W81" i="6"/>
  <c r="V81" i="6"/>
  <c r="U81" i="6"/>
  <c r="N81" i="6"/>
  <c r="K81" i="6"/>
  <c r="J81" i="6"/>
  <c r="Q81" i="6" s="1"/>
  <c r="R81" i="6" s="1"/>
  <c r="W80" i="6"/>
  <c r="V80" i="6"/>
  <c r="U80" i="6"/>
  <c r="N80" i="6"/>
  <c r="J80" i="6"/>
  <c r="W79" i="6"/>
  <c r="V79" i="6"/>
  <c r="U79" i="6"/>
  <c r="N79" i="6"/>
  <c r="J79" i="6"/>
  <c r="Q79" i="6" s="1"/>
  <c r="W78" i="6"/>
  <c r="V78" i="6"/>
  <c r="U78" i="6"/>
  <c r="Q78" i="6"/>
  <c r="N78" i="6"/>
  <c r="R78" i="6" s="1"/>
  <c r="J78" i="6"/>
  <c r="V77" i="6"/>
  <c r="U77" i="6"/>
  <c r="N77" i="6"/>
  <c r="W77" i="6" s="1"/>
  <c r="J77" i="6"/>
  <c r="V76" i="6"/>
  <c r="P6" i="7" s="1"/>
  <c r="R6" i="7" s="1"/>
  <c r="AE6" i="7" s="1"/>
  <c r="U76" i="6"/>
  <c r="O76" i="6"/>
  <c r="N76" i="6"/>
  <c r="W76" i="6" s="1"/>
  <c r="J76" i="6"/>
  <c r="V75" i="6"/>
  <c r="U75" i="6"/>
  <c r="Q75" i="6"/>
  <c r="N75" i="6"/>
  <c r="W75" i="6" s="1"/>
  <c r="J75" i="6"/>
  <c r="K75" i="6" s="1"/>
  <c r="V74" i="6"/>
  <c r="U74" i="6"/>
  <c r="Q74" i="6"/>
  <c r="N74" i="6"/>
  <c r="K74" i="6"/>
  <c r="J74" i="6"/>
  <c r="W73" i="6"/>
  <c r="V73" i="6"/>
  <c r="U73" i="6"/>
  <c r="N73" i="6"/>
  <c r="J73" i="6"/>
  <c r="W72" i="6"/>
  <c r="V72" i="6"/>
  <c r="U72" i="6"/>
  <c r="N72" i="6"/>
  <c r="R72" i="6" s="1"/>
  <c r="K72" i="6"/>
  <c r="J72" i="6"/>
  <c r="Q72" i="6" s="1"/>
  <c r="W71" i="6"/>
  <c r="V71" i="6"/>
  <c r="U71" i="6"/>
  <c r="R71" i="6"/>
  <c r="Q71" i="6"/>
  <c r="N71" i="6"/>
  <c r="K71" i="6"/>
  <c r="J71" i="6"/>
  <c r="V70" i="6"/>
  <c r="U70" i="6"/>
  <c r="Q70" i="6"/>
  <c r="N70" i="6"/>
  <c r="L70" i="6"/>
  <c r="J70" i="6"/>
  <c r="K70" i="6" s="1"/>
  <c r="V69" i="6"/>
  <c r="U69" i="6"/>
  <c r="N69" i="6"/>
  <c r="W69" i="6" s="1"/>
  <c r="J69" i="6"/>
  <c r="W68" i="6"/>
  <c r="V68" i="6"/>
  <c r="U68" i="6"/>
  <c r="N68" i="6"/>
  <c r="R68" i="6" s="1"/>
  <c r="K68" i="6"/>
  <c r="J68" i="6"/>
  <c r="Q68" i="6" s="1"/>
  <c r="W67" i="6"/>
  <c r="V67" i="6"/>
  <c r="U67" i="6"/>
  <c r="N67" i="6"/>
  <c r="J67" i="6"/>
  <c r="Q67" i="6" s="1"/>
  <c r="W66" i="6"/>
  <c r="V66" i="6"/>
  <c r="U66" i="6"/>
  <c r="Q66" i="6"/>
  <c r="N66" i="6"/>
  <c r="J66" i="6"/>
  <c r="V65" i="6"/>
  <c r="U65" i="6"/>
  <c r="R65" i="6"/>
  <c r="Q65" i="6"/>
  <c r="N65" i="6"/>
  <c r="W65" i="6" s="1"/>
  <c r="J65" i="6"/>
  <c r="V64" i="6"/>
  <c r="U64" i="6"/>
  <c r="N64" i="6"/>
  <c r="W64" i="6" s="1"/>
  <c r="J64" i="6"/>
  <c r="V63" i="6"/>
  <c r="U63" i="6"/>
  <c r="N63" i="6"/>
  <c r="J63" i="6"/>
  <c r="K63" i="6" s="1"/>
  <c r="V62" i="6"/>
  <c r="U62" i="6"/>
  <c r="Q62" i="6"/>
  <c r="N62" i="6"/>
  <c r="W62" i="6" s="1"/>
  <c r="K62" i="6"/>
  <c r="J62" i="6"/>
  <c r="W61" i="6"/>
  <c r="V61" i="6"/>
  <c r="U61" i="6"/>
  <c r="N61" i="6"/>
  <c r="J61" i="6"/>
  <c r="W60" i="6"/>
  <c r="V60" i="6"/>
  <c r="U60" i="6"/>
  <c r="N60" i="6"/>
  <c r="J60" i="6"/>
  <c r="Q60" i="6" s="1"/>
  <c r="W59" i="6"/>
  <c r="V59" i="6"/>
  <c r="U59" i="6"/>
  <c r="R59" i="6"/>
  <c r="Q59" i="6"/>
  <c r="N59" i="6"/>
  <c r="K59" i="6"/>
  <c r="J59" i="6"/>
  <c r="V58" i="6"/>
  <c r="U58" i="6"/>
  <c r="Q58" i="6"/>
  <c r="N58" i="6"/>
  <c r="J58" i="6"/>
  <c r="K58" i="6" s="1"/>
  <c r="W57" i="6"/>
  <c r="V57" i="6"/>
  <c r="U57" i="6"/>
  <c r="N57" i="6"/>
  <c r="J57" i="6"/>
  <c r="W56" i="6"/>
  <c r="V56" i="6"/>
  <c r="U56" i="6"/>
  <c r="N56" i="6"/>
  <c r="J56" i="6"/>
  <c r="Q56" i="6" s="1"/>
  <c r="R56" i="6" s="1"/>
  <c r="W55" i="6"/>
  <c r="V55" i="6"/>
  <c r="U55" i="6"/>
  <c r="N55" i="6"/>
  <c r="K55" i="6"/>
  <c r="J55" i="6"/>
  <c r="Q55" i="6" s="1"/>
  <c r="W54" i="6"/>
  <c r="V54" i="6"/>
  <c r="U54" i="6"/>
  <c r="Q54" i="6"/>
  <c r="N54" i="6"/>
  <c r="R54" i="6" s="1"/>
  <c r="K54" i="6"/>
  <c r="J54" i="6"/>
  <c r="V53" i="6"/>
  <c r="U53" i="6"/>
  <c r="Q53" i="6"/>
  <c r="N53" i="6"/>
  <c r="R53" i="6" s="1"/>
  <c r="K53" i="6"/>
  <c r="J53" i="6"/>
  <c r="W52" i="6"/>
  <c r="V52" i="6"/>
  <c r="U52" i="6"/>
  <c r="N52" i="6"/>
  <c r="K52" i="6"/>
  <c r="J52" i="6"/>
  <c r="Q52" i="6" s="1"/>
  <c r="R52" i="6" s="1"/>
  <c r="W51" i="6"/>
  <c r="V51" i="6"/>
  <c r="U51" i="6"/>
  <c r="Q51" i="6"/>
  <c r="R51" i="6" s="1"/>
  <c r="N51" i="6"/>
  <c r="K51" i="6"/>
  <c r="J51" i="6"/>
  <c r="W50" i="6"/>
  <c r="V50" i="6"/>
  <c r="U50" i="6"/>
  <c r="N50" i="6"/>
  <c r="J50" i="6"/>
  <c r="W49" i="6"/>
  <c r="V49" i="6"/>
  <c r="U49" i="6"/>
  <c r="N49" i="6"/>
  <c r="K49" i="6"/>
  <c r="J49" i="6"/>
  <c r="Q49" i="6" s="1"/>
  <c r="V48" i="6"/>
  <c r="U48" i="6"/>
  <c r="N48" i="6"/>
  <c r="W48" i="6" s="1"/>
  <c r="K48" i="6"/>
  <c r="J48" i="6"/>
  <c r="V47" i="6"/>
  <c r="U47" i="6"/>
  <c r="Q47" i="6"/>
  <c r="N47" i="6"/>
  <c r="R47" i="6" s="1"/>
  <c r="L47" i="6"/>
  <c r="K47" i="6"/>
  <c r="M47" i="6" s="1"/>
  <c r="J47" i="6"/>
  <c r="V46" i="6"/>
  <c r="U46" i="6"/>
  <c r="Q46" i="6"/>
  <c r="N46" i="6"/>
  <c r="W46" i="6" s="1"/>
  <c r="K46" i="6"/>
  <c r="J46" i="6"/>
  <c r="W45" i="6"/>
  <c r="V45" i="6"/>
  <c r="U45" i="6"/>
  <c r="R45" i="6"/>
  <c r="Q45" i="6"/>
  <c r="N45" i="6"/>
  <c r="K45" i="6"/>
  <c r="J45" i="6"/>
  <c r="V44" i="6"/>
  <c r="U44" i="6"/>
  <c r="Q44" i="6"/>
  <c r="N44" i="6"/>
  <c r="W44" i="6" s="1"/>
  <c r="K44" i="6"/>
  <c r="J44" i="6"/>
  <c r="W43" i="6"/>
  <c r="V43" i="6"/>
  <c r="U43" i="6"/>
  <c r="Q43" i="6"/>
  <c r="N43" i="6"/>
  <c r="R43" i="6" s="1"/>
  <c r="J43" i="6"/>
  <c r="K43" i="6" s="1"/>
  <c r="V42" i="6"/>
  <c r="U42" i="6"/>
  <c r="Q42" i="6"/>
  <c r="N42" i="6"/>
  <c r="J42" i="6"/>
  <c r="W41" i="6"/>
  <c r="V41" i="6"/>
  <c r="U41" i="6"/>
  <c r="Q41" i="6"/>
  <c r="N41" i="6"/>
  <c r="K41" i="6"/>
  <c r="J41" i="6"/>
  <c r="V40" i="6"/>
  <c r="U40" i="6"/>
  <c r="Q40" i="6"/>
  <c r="R40" i="6" s="1"/>
  <c r="N40" i="6"/>
  <c r="W40" i="6" s="1"/>
  <c r="J40" i="6"/>
  <c r="K40" i="6" s="1"/>
  <c r="W39" i="6"/>
  <c r="V39" i="6"/>
  <c r="U39" i="6"/>
  <c r="N39" i="6"/>
  <c r="J39" i="6"/>
  <c r="W38" i="6"/>
  <c r="V38" i="6"/>
  <c r="U38" i="6"/>
  <c r="Q38" i="6"/>
  <c r="N38" i="6"/>
  <c r="R38" i="6" s="1"/>
  <c r="K38" i="6"/>
  <c r="J38" i="6"/>
  <c r="V37" i="6"/>
  <c r="U37" i="6"/>
  <c r="Q37" i="6"/>
  <c r="N37" i="6"/>
  <c r="R37" i="6" s="1"/>
  <c r="L37" i="6"/>
  <c r="K37" i="6"/>
  <c r="M37" i="6" s="1"/>
  <c r="J37" i="6"/>
  <c r="W36" i="6"/>
  <c r="V36" i="6"/>
  <c r="U36" i="6"/>
  <c r="N36" i="6"/>
  <c r="J36" i="6"/>
  <c r="Q36" i="6" s="1"/>
  <c r="R36" i="6" s="1"/>
  <c r="W35" i="6"/>
  <c r="V35" i="6"/>
  <c r="U35" i="6"/>
  <c r="Q35" i="6"/>
  <c r="N35" i="6"/>
  <c r="R35" i="6" s="1"/>
  <c r="K35" i="6"/>
  <c r="J35" i="6"/>
  <c r="V34" i="6"/>
  <c r="U34" i="6"/>
  <c r="Q34" i="6"/>
  <c r="N34" i="6"/>
  <c r="W34" i="6" s="1"/>
  <c r="K34" i="6"/>
  <c r="J34" i="6"/>
  <c r="W33" i="6"/>
  <c r="V33" i="6"/>
  <c r="U33" i="6"/>
  <c r="R33" i="6"/>
  <c r="Q33" i="6"/>
  <c r="N33" i="6"/>
  <c r="K33" i="6"/>
  <c r="J33" i="6"/>
  <c r="V32" i="6"/>
  <c r="U32" i="6"/>
  <c r="Q32" i="6"/>
  <c r="N32" i="6"/>
  <c r="J32" i="6"/>
  <c r="W31" i="6"/>
  <c r="V31" i="6"/>
  <c r="U31" i="6"/>
  <c r="Q31" i="6"/>
  <c r="N31" i="6"/>
  <c r="J31" i="6"/>
  <c r="K31" i="6" s="1"/>
  <c r="V30" i="6"/>
  <c r="U30" i="6"/>
  <c r="Q30" i="6"/>
  <c r="R30" i="6" s="1"/>
  <c r="N30" i="6"/>
  <c r="W30" i="6" s="1"/>
  <c r="K30" i="6"/>
  <c r="J30" i="6"/>
  <c r="W29" i="6"/>
  <c r="V29" i="6"/>
  <c r="U29" i="6"/>
  <c r="R29" i="6"/>
  <c r="Q29" i="6"/>
  <c r="N29" i="6"/>
  <c r="K29" i="6"/>
  <c r="J29" i="6"/>
  <c r="W28" i="6"/>
  <c r="V28" i="6"/>
  <c r="U28" i="6"/>
  <c r="N28" i="6"/>
  <c r="K28" i="6"/>
  <c r="J28" i="6"/>
  <c r="Q28" i="6" s="1"/>
  <c r="R28" i="6" s="1"/>
  <c r="W27" i="6"/>
  <c r="V27" i="6"/>
  <c r="U27" i="6"/>
  <c r="N27" i="6"/>
  <c r="J27" i="6"/>
  <c r="W26" i="6"/>
  <c r="V26" i="6"/>
  <c r="U26" i="6"/>
  <c r="N26" i="6"/>
  <c r="J26" i="6"/>
  <c r="K26" i="6" s="1"/>
  <c r="V25" i="6"/>
  <c r="U25" i="6"/>
  <c r="Q25" i="6"/>
  <c r="N25" i="6"/>
  <c r="R25" i="6" s="1"/>
  <c r="L25" i="6"/>
  <c r="K25" i="6"/>
  <c r="M25" i="6" s="1"/>
  <c r="J25" i="6"/>
  <c r="V24" i="6"/>
  <c r="U24" i="6"/>
  <c r="Q24" i="6"/>
  <c r="N24" i="6"/>
  <c r="W24" i="6" s="1"/>
  <c r="L24" i="6"/>
  <c r="J24" i="6"/>
  <c r="K24" i="6" s="1"/>
  <c r="V23" i="6"/>
  <c r="U23" i="6"/>
  <c r="Q23" i="6"/>
  <c r="N23" i="6"/>
  <c r="K23" i="6"/>
  <c r="J23" i="6"/>
  <c r="W22" i="6"/>
  <c r="V22" i="6"/>
  <c r="U22" i="6"/>
  <c r="Q22" i="6"/>
  <c r="R22" i="6" s="1"/>
  <c r="N22" i="6"/>
  <c r="J22" i="6"/>
  <c r="K22" i="6" s="1"/>
  <c r="W21" i="6"/>
  <c r="V21" i="6"/>
  <c r="U21" i="6"/>
  <c r="N21" i="6"/>
  <c r="J21" i="6"/>
  <c r="W20" i="6"/>
  <c r="V20" i="6"/>
  <c r="U20" i="6"/>
  <c r="Q20" i="6"/>
  <c r="N20" i="6"/>
  <c r="R20" i="6" s="1"/>
  <c r="K20" i="6"/>
  <c r="J20" i="6"/>
  <c r="V19" i="6"/>
  <c r="U19" i="6"/>
  <c r="Q19" i="6"/>
  <c r="N19" i="6"/>
  <c r="W19" i="6" s="1"/>
  <c r="L19" i="6"/>
  <c r="K19" i="6"/>
  <c r="J19" i="6"/>
  <c r="W18" i="6"/>
  <c r="V18" i="6"/>
  <c r="U18" i="6"/>
  <c r="N18" i="6"/>
  <c r="J18" i="6"/>
  <c r="Q18" i="6" s="1"/>
  <c r="R18" i="6" s="1"/>
  <c r="W17" i="6"/>
  <c r="V17" i="6"/>
  <c r="U17" i="6"/>
  <c r="Q17" i="6"/>
  <c r="N17" i="6"/>
  <c r="R17" i="6" s="1"/>
  <c r="K17" i="6"/>
  <c r="J17" i="6"/>
  <c r="V16" i="6"/>
  <c r="U16" i="6"/>
  <c r="Q16" i="6"/>
  <c r="N16" i="6"/>
  <c r="W16" i="6" s="1"/>
  <c r="K16" i="6"/>
  <c r="J16" i="6"/>
  <c r="W15" i="6"/>
  <c r="V15" i="6"/>
  <c r="U15" i="6"/>
  <c r="R15" i="6"/>
  <c r="Q15" i="6"/>
  <c r="N15" i="6"/>
  <c r="K15" i="6"/>
  <c r="J15" i="6"/>
  <c r="V14" i="6"/>
  <c r="U14" i="6"/>
  <c r="Q14" i="6"/>
  <c r="N14" i="6"/>
  <c r="J14" i="6"/>
  <c r="W13" i="6"/>
  <c r="V13" i="6"/>
  <c r="U13" i="6"/>
  <c r="Q13" i="6"/>
  <c r="N13" i="6"/>
  <c r="J13" i="6"/>
  <c r="K13" i="6" s="1"/>
  <c r="V12" i="6"/>
  <c r="U12" i="6"/>
  <c r="Q12" i="6"/>
  <c r="R12" i="6" s="1"/>
  <c r="N12" i="6"/>
  <c r="W12" i="6" s="1"/>
  <c r="K12" i="6"/>
  <c r="J12" i="6"/>
  <c r="W11" i="6"/>
  <c r="V11" i="6"/>
  <c r="U11" i="6"/>
  <c r="R11" i="6"/>
  <c r="Q11" i="6"/>
  <c r="N11" i="6"/>
  <c r="K11" i="6"/>
  <c r="J11" i="6"/>
  <c r="W10" i="6"/>
  <c r="V10" i="6"/>
  <c r="U10" i="6"/>
  <c r="N10" i="6"/>
  <c r="K10" i="6"/>
  <c r="J10" i="6"/>
  <c r="Q10" i="6" s="1"/>
  <c r="R10" i="6" s="1"/>
  <c r="W9" i="6"/>
  <c r="V9" i="6"/>
  <c r="U9" i="6"/>
  <c r="N9" i="6"/>
  <c r="J9" i="6"/>
  <c r="W8" i="6"/>
  <c r="V8" i="6"/>
  <c r="U8" i="6"/>
  <c r="N8" i="6"/>
  <c r="K8" i="6"/>
  <c r="J8" i="6"/>
  <c r="V7" i="6"/>
  <c r="U7" i="6"/>
  <c r="Q7" i="6"/>
  <c r="N7" i="6"/>
  <c r="R7" i="6" s="1"/>
  <c r="L7" i="6"/>
  <c r="K7" i="6"/>
  <c r="M7" i="6" s="1"/>
  <c r="J7" i="6"/>
  <c r="V6" i="6"/>
  <c r="U6" i="6"/>
  <c r="Q6" i="6"/>
  <c r="N6" i="6"/>
  <c r="W6" i="6" s="1"/>
  <c r="M6" i="6"/>
  <c r="L6" i="6"/>
  <c r="J6" i="6"/>
  <c r="K6" i="6" s="1"/>
  <c r="V5" i="6"/>
  <c r="U5" i="6"/>
  <c r="Q5" i="6"/>
  <c r="N5" i="6"/>
  <c r="F5" i="5" s="1"/>
  <c r="K5" i="6"/>
  <c r="J5" i="6"/>
  <c r="F21" i="5"/>
  <c r="S15" i="5"/>
  <c r="J15" i="5"/>
  <c r="I15" i="5"/>
  <c r="H15" i="5"/>
  <c r="G15" i="5"/>
  <c r="F15" i="5"/>
  <c r="B15" i="5"/>
  <c r="S14" i="5"/>
  <c r="I14" i="5"/>
  <c r="H14" i="5"/>
  <c r="J14" i="5" s="1"/>
  <c r="E75" i="1" s="1"/>
  <c r="G14" i="5"/>
  <c r="F14" i="5"/>
  <c r="B14" i="5"/>
  <c r="S13" i="5"/>
  <c r="J13" i="5"/>
  <c r="E74" i="1" s="1"/>
  <c r="I13" i="5"/>
  <c r="H13" i="5"/>
  <c r="G13" i="5"/>
  <c r="F13" i="5"/>
  <c r="B13" i="5"/>
  <c r="J12" i="5"/>
  <c r="I12" i="5"/>
  <c r="H12" i="5"/>
  <c r="G12" i="5"/>
  <c r="B12" i="5"/>
  <c r="S11" i="5"/>
  <c r="I11" i="5"/>
  <c r="H11" i="5"/>
  <c r="J11" i="5" s="1"/>
  <c r="E72" i="1" s="1"/>
  <c r="G11" i="5"/>
  <c r="F11" i="5"/>
  <c r="D72" i="1" s="1"/>
  <c r="B11" i="5"/>
  <c r="S10" i="5"/>
  <c r="J10" i="5"/>
  <c r="E71" i="1" s="1"/>
  <c r="I10" i="5"/>
  <c r="H10" i="5"/>
  <c r="G10" i="5"/>
  <c r="F10" i="5"/>
  <c r="B10" i="5"/>
  <c r="S9" i="5"/>
  <c r="I70" i="1" s="1"/>
  <c r="J9" i="5"/>
  <c r="E70" i="1" s="1"/>
  <c r="I9" i="5"/>
  <c r="H9" i="5"/>
  <c r="G9" i="5"/>
  <c r="F9" i="5"/>
  <c r="B9" i="5"/>
  <c r="S8" i="5"/>
  <c r="I69" i="1" s="1"/>
  <c r="I8" i="5"/>
  <c r="H8" i="5"/>
  <c r="J8" i="5" s="1"/>
  <c r="E69" i="1" s="1"/>
  <c r="G8" i="5"/>
  <c r="F8" i="5"/>
  <c r="B8" i="5"/>
  <c r="S7" i="5"/>
  <c r="J7" i="5"/>
  <c r="E68" i="1" s="1"/>
  <c r="I7" i="5"/>
  <c r="I16" i="5" s="1"/>
  <c r="H7" i="5"/>
  <c r="G7" i="5"/>
  <c r="F7" i="5"/>
  <c r="B7" i="5"/>
  <c r="S6" i="5"/>
  <c r="I67" i="1" s="1"/>
  <c r="J6" i="5"/>
  <c r="I6" i="5"/>
  <c r="H6" i="5"/>
  <c r="G6" i="5"/>
  <c r="F6" i="5"/>
  <c r="B6" i="5"/>
  <c r="S5" i="5"/>
  <c r="I66" i="1" s="1"/>
  <c r="I5" i="5"/>
  <c r="H5" i="5"/>
  <c r="H16" i="5" s="1"/>
  <c r="G5" i="5"/>
  <c r="B5" i="5"/>
  <c r="B16" i="5" s="1"/>
  <c r="M11" i="4"/>
  <c r="B36" i="3" s="1"/>
  <c r="R10" i="4"/>
  <c r="Q10" i="4"/>
  <c r="P10" i="4"/>
  <c r="O10" i="4"/>
  <c r="N10" i="4"/>
  <c r="M10" i="4"/>
  <c r="L10" i="4"/>
  <c r="R9" i="4"/>
  <c r="Q9" i="4"/>
  <c r="P9" i="4"/>
  <c r="O9" i="4"/>
  <c r="N9" i="4"/>
  <c r="M9" i="4"/>
  <c r="L9" i="4"/>
  <c r="R8" i="4"/>
  <c r="Q8" i="4"/>
  <c r="P8" i="4"/>
  <c r="O8" i="4"/>
  <c r="N8" i="4"/>
  <c r="M8" i="4"/>
  <c r="L8" i="4"/>
  <c r="R7" i="4"/>
  <c r="Q7" i="4"/>
  <c r="P7" i="4"/>
  <c r="O7" i="4"/>
  <c r="N7" i="4"/>
  <c r="M7" i="4"/>
  <c r="L7" i="4"/>
  <c r="M6" i="4"/>
  <c r="N6" i="4" s="1"/>
  <c r="L6" i="4"/>
  <c r="O6" i="4" s="1"/>
  <c r="O11" i="4" s="1"/>
  <c r="C30" i="3"/>
  <c r="B30" i="3"/>
  <c r="C17" i="3"/>
  <c r="B8" i="3"/>
  <c r="L238" i="6" s="1"/>
  <c r="A77" i="1"/>
  <c r="I76" i="1"/>
  <c r="E76" i="1"/>
  <c r="D76" i="1"/>
  <c r="A76" i="1"/>
  <c r="I75" i="1"/>
  <c r="D75" i="1"/>
  <c r="A75" i="1"/>
  <c r="I74" i="1"/>
  <c r="D74" i="1"/>
  <c r="A74" i="1"/>
  <c r="E73" i="1"/>
  <c r="A73" i="1"/>
  <c r="I72" i="1"/>
  <c r="A72" i="1"/>
  <c r="I71" i="1"/>
  <c r="D71" i="1"/>
  <c r="A71" i="1"/>
  <c r="D70" i="1"/>
  <c r="A70" i="1"/>
  <c r="D69" i="1"/>
  <c r="A69" i="1"/>
  <c r="I68" i="1"/>
  <c r="D68" i="1"/>
  <c r="A68" i="1"/>
  <c r="E67" i="1"/>
  <c r="D67" i="1"/>
  <c r="A67" i="1"/>
  <c r="A66" i="1"/>
  <c r="G55" i="1"/>
  <c r="F36" i="1"/>
  <c r="E36" i="1"/>
  <c r="E33" i="1"/>
  <c r="A10" i="1"/>
  <c r="A7" i="1"/>
  <c r="J6" i="1"/>
  <c r="A2" i="1"/>
  <c r="F16" i="5" l="1"/>
  <c r="D66" i="1"/>
  <c r="M108" i="6"/>
  <c r="W120" i="6"/>
  <c r="R120" i="6"/>
  <c r="P6" i="4"/>
  <c r="N11" i="4"/>
  <c r="G16" i="5"/>
  <c r="K21" i="6"/>
  <c r="M24" i="6"/>
  <c r="M101" i="6"/>
  <c r="W5" i="6"/>
  <c r="R5" i="6"/>
  <c r="K88" i="6"/>
  <c r="Q88" i="6"/>
  <c r="R88" i="6" s="1"/>
  <c r="M125" i="6"/>
  <c r="Q21" i="6"/>
  <c r="R21" i="6" s="1"/>
  <c r="W42" i="6"/>
  <c r="R42" i="6"/>
  <c r="Q61" i="6"/>
  <c r="R61" i="6" s="1"/>
  <c r="K61" i="6"/>
  <c r="Q80" i="6"/>
  <c r="R80" i="6" s="1"/>
  <c r="K80" i="6"/>
  <c r="M80" i="6" s="1"/>
  <c r="W82" i="6"/>
  <c r="R82" i="6"/>
  <c r="K39" i="6"/>
  <c r="W167" i="6"/>
  <c r="R167" i="6"/>
  <c r="Q189" i="6"/>
  <c r="R189" i="6" s="1"/>
  <c r="K189" i="6"/>
  <c r="M12" i="6"/>
  <c r="W23" i="6"/>
  <c r="R23" i="6"/>
  <c r="M70" i="6"/>
  <c r="K172" i="6"/>
  <c r="Q172" i="6"/>
  <c r="Q26" i="6"/>
  <c r="R26" i="6" s="1"/>
  <c r="Q9" i="6"/>
  <c r="R9" i="6" s="1"/>
  <c r="K9" i="6"/>
  <c r="Q39" i="6"/>
  <c r="R39" i="6" s="1"/>
  <c r="M178" i="6"/>
  <c r="M68" i="6"/>
  <c r="Q151" i="6"/>
  <c r="R151" i="6" s="1"/>
  <c r="K151" i="6"/>
  <c r="W14" i="6"/>
  <c r="R14" i="6"/>
  <c r="M72" i="6"/>
  <c r="T100" i="6"/>
  <c r="M113" i="6"/>
  <c r="M19" i="6"/>
  <c r="Q27" i="6"/>
  <c r="R27" i="6" s="1"/>
  <c r="K27" i="6"/>
  <c r="Q50" i="6"/>
  <c r="R50" i="6" s="1"/>
  <c r="K50" i="6"/>
  <c r="M50" i="6" s="1"/>
  <c r="M62" i="6"/>
  <c r="W74" i="6"/>
  <c r="R74" i="6"/>
  <c r="Q96" i="6"/>
  <c r="R96" i="6" s="1"/>
  <c r="K96" i="6"/>
  <c r="R102" i="6"/>
  <c r="W102" i="6"/>
  <c r="W183" i="6"/>
  <c r="M54" i="6"/>
  <c r="W170" i="6"/>
  <c r="R170" i="6"/>
  <c r="Q8" i="6"/>
  <c r="R8" i="6" s="1"/>
  <c r="W32" i="6"/>
  <c r="R32" i="6"/>
  <c r="M48" i="6"/>
  <c r="R60" i="6"/>
  <c r="L71" i="6"/>
  <c r="L73" i="6"/>
  <c r="L74" i="6"/>
  <c r="L102" i="6"/>
  <c r="W112" i="6"/>
  <c r="L120" i="6"/>
  <c r="W126" i="6"/>
  <c r="R126" i="6"/>
  <c r="K128" i="6"/>
  <c r="Q139" i="6"/>
  <c r="R139" i="6" s="1"/>
  <c r="K139" i="6"/>
  <c r="M139" i="6" s="1"/>
  <c r="K142" i="6"/>
  <c r="M142" i="6" s="1"/>
  <c r="Q142" i="6"/>
  <c r="Q158" i="6"/>
  <c r="L183" i="6"/>
  <c r="W199" i="6"/>
  <c r="R199" i="6"/>
  <c r="R203" i="6"/>
  <c r="W203" i="6"/>
  <c r="L228" i="6"/>
  <c r="L17" i="6"/>
  <c r="L35" i="6"/>
  <c r="M35" i="6" s="1"/>
  <c r="L48" i="6"/>
  <c r="L49" i="6"/>
  <c r="L59" i="6"/>
  <c r="L61" i="6"/>
  <c r="L62" i="6"/>
  <c r="K69" i="6"/>
  <c r="M69" i="6" s="1"/>
  <c r="L81" i="6"/>
  <c r="L95" i="6"/>
  <c r="L108" i="6"/>
  <c r="L145" i="6"/>
  <c r="Q163" i="6"/>
  <c r="R163" i="6" s="1"/>
  <c r="K163" i="6"/>
  <c r="M163" i="6" s="1"/>
  <c r="L194" i="6"/>
  <c r="L224" i="6"/>
  <c r="M248" i="6"/>
  <c r="L8" i="6"/>
  <c r="L26" i="6"/>
  <c r="L9" i="6"/>
  <c r="K18" i="6"/>
  <c r="L27" i="6"/>
  <c r="K36" i="6"/>
  <c r="W37" i="6"/>
  <c r="R44" i="6"/>
  <c r="L51" i="6"/>
  <c r="W53" i="6"/>
  <c r="L58" i="6"/>
  <c r="K60" i="6"/>
  <c r="M60" i="6" s="1"/>
  <c r="Q63" i="6"/>
  <c r="R63" i="6" s="1"/>
  <c r="L69" i="6"/>
  <c r="W70" i="6"/>
  <c r="R70" i="6"/>
  <c r="K79" i="6"/>
  <c r="M79" i="6" s="1"/>
  <c r="L80" i="6"/>
  <c r="R84" i="6"/>
  <c r="R89" i="6"/>
  <c r="K100" i="6"/>
  <c r="P100" i="6"/>
  <c r="K122" i="6"/>
  <c r="M122" i="6" s="1"/>
  <c r="Q122" i="6"/>
  <c r="R122" i="6" s="1"/>
  <c r="Q128" i="6"/>
  <c r="R128" i="6" s="1"/>
  <c r="M144" i="6"/>
  <c r="L151" i="6"/>
  <c r="L154" i="6"/>
  <c r="M157" i="6"/>
  <c r="R158" i="6"/>
  <c r="L163" i="6"/>
  <c r="L169" i="6"/>
  <c r="L186" i="6"/>
  <c r="L189" i="6"/>
  <c r="L211" i="6"/>
  <c r="M213" i="6"/>
  <c r="L234" i="6"/>
  <c r="K537" i="8"/>
  <c r="L537" i="8" s="1"/>
  <c r="K369" i="8"/>
  <c r="L369" i="8" s="1"/>
  <c r="K367" i="8"/>
  <c r="L367" i="8" s="1"/>
  <c r="K365" i="8"/>
  <c r="L365" i="8" s="1"/>
  <c r="K363" i="8"/>
  <c r="L363" i="8" s="1"/>
  <c r="K359" i="8"/>
  <c r="L359" i="8" s="1"/>
  <c r="K530" i="8"/>
  <c r="L530" i="8" s="1"/>
  <c r="K525" i="8"/>
  <c r="L525" i="8" s="1"/>
  <c r="K518" i="8"/>
  <c r="L518" i="8" s="1"/>
  <c r="K513" i="8"/>
  <c r="L513" i="8" s="1"/>
  <c r="K506" i="8"/>
  <c r="L506" i="8" s="1"/>
  <c r="K501" i="8"/>
  <c r="L501" i="8" s="1"/>
  <c r="K494" i="8"/>
  <c r="L494" i="8" s="1"/>
  <c r="K489" i="8"/>
  <c r="L489" i="8" s="1"/>
  <c r="K482" i="8"/>
  <c r="L482" i="8" s="1"/>
  <c r="K477" i="8"/>
  <c r="L477" i="8" s="1"/>
  <c r="K470" i="8"/>
  <c r="L470" i="8" s="1"/>
  <c r="K465" i="8"/>
  <c r="L465" i="8" s="1"/>
  <c r="K458" i="8"/>
  <c r="L458" i="8" s="1"/>
  <c r="M458" i="8" s="1"/>
  <c r="K446" i="8"/>
  <c r="L446" i="8" s="1"/>
  <c r="K441" i="8"/>
  <c r="L441" i="8" s="1"/>
  <c r="K434" i="8"/>
  <c r="L434" i="8" s="1"/>
  <c r="K429" i="8"/>
  <c r="L429" i="8" s="1"/>
  <c r="K422" i="8"/>
  <c r="L422" i="8" s="1"/>
  <c r="K417" i="8"/>
  <c r="L417" i="8" s="1"/>
  <c r="K410" i="8"/>
  <c r="L410" i="8" s="1"/>
  <c r="K405" i="8"/>
  <c r="L405" i="8" s="1"/>
  <c r="K398" i="8"/>
  <c r="L398" i="8" s="1"/>
  <c r="K393" i="8"/>
  <c r="L393" i="8" s="1"/>
  <c r="K382" i="8"/>
  <c r="L382" i="8" s="1"/>
  <c r="K371" i="8"/>
  <c r="L371" i="8" s="1"/>
  <c r="K384" i="8"/>
  <c r="L384" i="8" s="1"/>
  <c r="K373" i="8"/>
  <c r="L373" i="8" s="1"/>
  <c r="K532" i="8"/>
  <c r="L532" i="8" s="1"/>
  <c r="K527" i="8"/>
  <c r="L527" i="8" s="1"/>
  <c r="K520" i="8"/>
  <c r="L520" i="8" s="1"/>
  <c r="K515" i="8"/>
  <c r="L515" i="8" s="1"/>
  <c r="K508" i="8"/>
  <c r="L508" i="8" s="1"/>
  <c r="K503" i="8"/>
  <c r="L503" i="8" s="1"/>
  <c r="K496" i="8"/>
  <c r="L496" i="8" s="1"/>
  <c r="K491" i="8"/>
  <c r="L491" i="8" s="1"/>
  <c r="K484" i="8"/>
  <c r="L484" i="8" s="1"/>
  <c r="K479" i="8"/>
  <c r="L479" i="8" s="1"/>
  <c r="K472" i="8"/>
  <c r="L472" i="8" s="1"/>
  <c r="K467" i="8"/>
  <c r="L467" i="8" s="1"/>
  <c r="K460" i="8"/>
  <c r="L460" i="8" s="1"/>
  <c r="K455" i="8"/>
  <c r="L455" i="8" s="1"/>
  <c r="K448" i="8"/>
  <c r="L448" i="8" s="1"/>
  <c r="K443" i="8"/>
  <c r="L443" i="8" s="1"/>
  <c r="K436" i="8"/>
  <c r="L436" i="8" s="1"/>
  <c r="K431" i="8"/>
  <c r="L431" i="8" s="1"/>
  <c r="K424" i="8"/>
  <c r="L424" i="8" s="1"/>
  <c r="K412" i="8"/>
  <c r="L412" i="8" s="1"/>
  <c r="K407" i="8"/>
  <c r="L407" i="8" s="1"/>
  <c r="K400" i="8"/>
  <c r="L400" i="8" s="1"/>
  <c r="K395" i="8"/>
  <c r="L395" i="8" s="1"/>
  <c r="K386" i="8"/>
  <c r="L386" i="8" s="1"/>
  <c r="K375" i="8"/>
  <c r="L375" i="8" s="1"/>
  <c r="K534" i="8"/>
  <c r="L534" i="8" s="1"/>
  <c r="K529" i="8"/>
  <c r="L529" i="8" s="1"/>
  <c r="K522" i="8"/>
  <c r="L522" i="8" s="1"/>
  <c r="K517" i="8"/>
  <c r="L517" i="8" s="1"/>
  <c r="K510" i="8"/>
  <c r="L510" i="8" s="1"/>
  <c r="K505" i="8"/>
  <c r="L505" i="8" s="1"/>
  <c r="K498" i="8"/>
  <c r="L498" i="8" s="1"/>
  <c r="M498" i="8" s="1"/>
  <c r="K493" i="8"/>
  <c r="L493" i="8" s="1"/>
  <c r="K486" i="8"/>
  <c r="L486" i="8" s="1"/>
  <c r="K481" i="8"/>
  <c r="L481" i="8" s="1"/>
  <c r="K474" i="8"/>
  <c r="L474" i="8" s="1"/>
  <c r="K469" i="8"/>
  <c r="L469" i="8" s="1"/>
  <c r="K462" i="8"/>
  <c r="L462" i="8" s="1"/>
  <c r="K450" i="8"/>
  <c r="L450" i="8" s="1"/>
  <c r="K445" i="8"/>
  <c r="L445" i="8" s="1"/>
  <c r="K438" i="8"/>
  <c r="L438" i="8" s="1"/>
  <c r="M438" i="8" s="1"/>
  <c r="K433" i="8"/>
  <c r="L433" i="8" s="1"/>
  <c r="K426" i="8"/>
  <c r="L426" i="8" s="1"/>
  <c r="K421" i="8"/>
  <c r="L421" i="8" s="1"/>
  <c r="K414" i="8"/>
  <c r="L414" i="8" s="1"/>
  <c r="K409" i="8"/>
  <c r="L409" i="8" s="1"/>
  <c r="K402" i="8"/>
  <c r="L402" i="8" s="1"/>
  <c r="K397" i="8"/>
  <c r="L397" i="8" s="1"/>
  <c r="K390" i="8"/>
  <c r="L390" i="8" s="1"/>
  <c r="K379" i="8"/>
  <c r="L379" i="8" s="1"/>
  <c r="K536" i="8"/>
  <c r="L536" i="8" s="1"/>
  <c r="K531" i="8"/>
  <c r="L531" i="8" s="1"/>
  <c r="K524" i="8"/>
  <c r="L524" i="8" s="1"/>
  <c r="K512" i="8"/>
  <c r="L512" i="8" s="1"/>
  <c r="K507" i="8"/>
  <c r="L507" i="8" s="1"/>
  <c r="K500" i="8"/>
  <c r="L500" i="8" s="1"/>
  <c r="K495" i="8"/>
  <c r="L495" i="8" s="1"/>
  <c r="K488" i="8"/>
  <c r="L488" i="8" s="1"/>
  <c r="K483" i="8"/>
  <c r="L483" i="8" s="1"/>
  <c r="K476" i="8"/>
  <c r="L476" i="8" s="1"/>
  <c r="K471" i="8"/>
  <c r="L471" i="8" s="1"/>
  <c r="K464" i="8"/>
  <c r="L464" i="8" s="1"/>
  <c r="K459" i="8"/>
  <c r="L459" i="8" s="1"/>
  <c r="K452" i="8"/>
  <c r="L452" i="8" s="1"/>
  <c r="K447" i="8"/>
  <c r="L447" i="8" s="1"/>
  <c r="K440" i="8"/>
  <c r="L440" i="8" s="1"/>
  <c r="K435" i="8"/>
  <c r="L435" i="8" s="1"/>
  <c r="K428" i="8"/>
  <c r="L428" i="8" s="1"/>
  <c r="K423" i="8"/>
  <c r="L423" i="8" s="1"/>
  <c r="K416" i="8"/>
  <c r="L416" i="8" s="1"/>
  <c r="K411" i="8"/>
  <c r="L411" i="8" s="1"/>
  <c r="K404" i="8"/>
  <c r="L404" i="8" s="1"/>
  <c r="K399" i="8"/>
  <c r="L399" i="8" s="1"/>
  <c r="K392" i="8"/>
  <c r="L392" i="8" s="1"/>
  <c r="K383" i="8"/>
  <c r="L383" i="8" s="1"/>
  <c r="K370" i="8"/>
  <c r="L370" i="8" s="1"/>
  <c r="K385" i="8"/>
  <c r="L385" i="8" s="1"/>
  <c r="K533" i="8"/>
  <c r="L533" i="8" s="1"/>
  <c r="K521" i="8"/>
  <c r="L521" i="8" s="1"/>
  <c r="K514" i="8"/>
  <c r="L514" i="8" s="1"/>
  <c r="K509" i="8"/>
  <c r="L509" i="8" s="1"/>
  <c r="K502" i="8"/>
  <c r="L502" i="8" s="1"/>
  <c r="K490" i="8"/>
  <c r="L490" i="8" s="1"/>
  <c r="K485" i="8"/>
  <c r="L485" i="8" s="1"/>
  <c r="K478" i="8"/>
  <c r="L478" i="8" s="1"/>
  <c r="K473" i="8"/>
  <c r="L473" i="8" s="1"/>
  <c r="K461" i="8"/>
  <c r="L461" i="8" s="1"/>
  <c r="K454" i="8"/>
  <c r="L454" i="8" s="1"/>
  <c r="K449" i="8"/>
  <c r="L449" i="8" s="1"/>
  <c r="K442" i="8"/>
  <c r="L442" i="8" s="1"/>
  <c r="K430" i="8"/>
  <c r="L430" i="8" s="1"/>
  <c r="K425" i="8"/>
  <c r="L425" i="8" s="1"/>
  <c r="K418" i="8"/>
  <c r="L418" i="8" s="1"/>
  <c r="K413" i="8"/>
  <c r="L413" i="8" s="1"/>
  <c r="K406" i="8"/>
  <c r="L406" i="8" s="1"/>
  <c r="K401" i="8"/>
  <c r="L401" i="8" s="1"/>
  <c r="K394" i="8"/>
  <c r="L394" i="8" s="1"/>
  <c r="K387" i="8"/>
  <c r="L387" i="8" s="1"/>
  <c r="K374" i="8"/>
  <c r="L374" i="8" s="1"/>
  <c r="K535" i="8"/>
  <c r="L535" i="8" s="1"/>
  <c r="K528" i="8"/>
  <c r="L528" i="8" s="1"/>
  <c r="K523" i="8"/>
  <c r="L523" i="8" s="1"/>
  <c r="K516" i="8"/>
  <c r="L516" i="8" s="1"/>
  <c r="K511" i="8"/>
  <c r="L511" i="8" s="1"/>
  <c r="K504" i="8"/>
  <c r="L504" i="8" s="1"/>
  <c r="K499" i="8"/>
  <c r="L499" i="8" s="1"/>
  <c r="K492" i="8"/>
  <c r="L492" i="8" s="1"/>
  <c r="K487" i="8"/>
  <c r="L487" i="8" s="1"/>
  <c r="K480" i="8"/>
  <c r="L480" i="8" s="1"/>
  <c r="K475" i="8"/>
  <c r="L475" i="8" s="1"/>
  <c r="K468" i="8"/>
  <c r="L468" i="8" s="1"/>
  <c r="K463" i="8"/>
  <c r="L463" i="8" s="1"/>
  <c r="K456" i="8"/>
  <c r="L456" i="8" s="1"/>
  <c r="K451" i="8"/>
  <c r="L451" i="8" s="1"/>
  <c r="K444" i="8"/>
  <c r="L444" i="8" s="1"/>
  <c r="K439" i="8"/>
  <c r="L439" i="8" s="1"/>
  <c r="K432" i="8"/>
  <c r="L432" i="8" s="1"/>
  <c r="K427" i="8"/>
  <c r="L427" i="8" s="1"/>
  <c r="K420" i="8"/>
  <c r="L420" i="8" s="1"/>
  <c r="K415" i="8"/>
  <c r="L415" i="8" s="1"/>
  <c r="K408" i="8"/>
  <c r="L408" i="8" s="1"/>
  <c r="K403" i="8"/>
  <c r="L403" i="8" s="1"/>
  <c r="K396" i="8"/>
  <c r="L396" i="8" s="1"/>
  <c r="K391" i="8"/>
  <c r="L391" i="8" s="1"/>
  <c r="K378" i="8"/>
  <c r="L378" i="8" s="1"/>
  <c r="K349" i="8"/>
  <c r="L349" i="8" s="1"/>
  <c r="K341" i="8"/>
  <c r="L341" i="8" s="1"/>
  <c r="K333" i="8"/>
  <c r="L333" i="8" s="1"/>
  <c r="K325" i="8"/>
  <c r="L325" i="8" s="1"/>
  <c r="K317" i="8"/>
  <c r="L317" i="8" s="1"/>
  <c r="K309" i="8"/>
  <c r="L309" i="8" s="1"/>
  <c r="K307" i="8"/>
  <c r="L307" i="8" s="1"/>
  <c r="K305" i="8"/>
  <c r="L305" i="8" s="1"/>
  <c r="K303" i="8"/>
  <c r="L303" i="8" s="1"/>
  <c r="K301" i="8"/>
  <c r="L301" i="8" s="1"/>
  <c r="K299" i="8"/>
  <c r="L299" i="8" s="1"/>
  <c r="K297" i="8"/>
  <c r="L297" i="8" s="1"/>
  <c r="K295" i="8"/>
  <c r="L295" i="8" s="1"/>
  <c r="K293" i="8"/>
  <c r="L293" i="8" s="1"/>
  <c r="K291" i="8"/>
  <c r="L291" i="8" s="1"/>
  <c r="K289" i="8"/>
  <c r="L289" i="8" s="1"/>
  <c r="K287" i="8"/>
  <c r="L287" i="8" s="1"/>
  <c r="K285" i="8"/>
  <c r="L285" i="8" s="1"/>
  <c r="K283" i="8"/>
  <c r="L283" i="8" s="1"/>
  <c r="K281" i="8"/>
  <c r="L281" i="8" s="1"/>
  <c r="K279" i="8"/>
  <c r="L279" i="8" s="1"/>
  <c r="K277" i="8"/>
  <c r="L277" i="8" s="1"/>
  <c r="K275" i="8"/>
  <c r="L275" i="8" s="1"/>
  <c r="K273" i="8"/>
  <c r="L273" i="8" s="1"/>
  <c r="K271" i="8"/>
  <c r="L271" i="8" s="1"/>
  <c r="K269" i="8"/>
  <c r="L269" i="8" s="1"/>
  <c r="K267" i="8"/>
  <c r="L267" i="8" s="1"/>
  <c r="K265" i="8"/>
  <c r="L265" i="8" s="1"/>
  <c r="K263" i="8"/>
  <c r="L263" i="8" s="1"/>
  <c r="M263" i="8" s="1"/>
  <c r="K261" i="8"/>
  <c r="L261" i="8" s="1"/>
  <c r="K259" i="8"/>
  <c r="L259" i="8" s="1"/>
  <c r="K257" i="8"/>
  <c r="L257" i="8" s="1"/>
  <c r="K255" i="8"/>
  <c r="L255" i="8" s="1"/>
  <c r="K253" i="8"/>
  <c r="L253" i="8" s="1"/>
  <c r="K251" i="8"/>
  <c r="L251" i="8" s="1"/>
  <c r="K376" i="8"/>
  <c r="L376" i="8" s="1"/>
  <c r="K372" i="8"/>
  <c r="L372" i="8" s="1"/>
  <c r="K354" i="8"/>
  <c r="L354" i="8" s="1"/>
  <c r="K346" i="8"/>
  <c r="L346" i="8" s="1"/>
  <c r="K338" i="8"/>
  <c r="L338" i="8" s="1"/>
  <c r="K330" i="8"/>
  <c r="L330" i="8" s="1"/>
  <c r="K322" i="8"/>
  <c r="L322" i="8" s="1"/>
  <c r="K314" i="8"/>
  <c r="L314" i="8" s="1"/>
  <c r="K368" i="8"/>
  <c r="L368" i="8" s="1"/>
  <c r="K362" i="8"/>
  <c r="L362" i="8" s="1"/>
  <c r="K381" i="8"/>
  <c r="L381" i="8" s="1"/>
  <c r="K364" i="8"/>
  <c r="L364" i="8" s="1"/>
  <c r="K353" i="8"/>
  <c r="L353" i="8" s="1"/>
  <c r="K345" i="8"/>
  <c r="L345" i="8" s="1"/>
  <c r="K337" i="8"/>
  <c r="L337" i="8" s="1"/>
  <c r="K329" i="8"/>
  <c r="L329" i="8" s="1"/>
  <c r="K321" i="8"/>
  <c r="L321" i="8" s="1"/>
  <c r="K313" i="8"/>
  <c r="L313" i="8" s="1"/>
  <c r="K306" i="8"/>
  <c r="L306" i="8" s="1"/>
  <c r="K304" i="8"/>
  <c r="L304" i="8" s="1"/>
  <c r="K302" i="8"/>
  <c r="L302" i="8" s="1"/>
  <c r="K300" i="8"/>
  <c r="L300" i="8" s="1"/>
  <c r="K298" i="8"/>
  <c r="L298" i="8" s="1"/>
  <c r="K296" i="8"/>
  <c r="L296" i="8" s="1"/>
  <c r="K294" i="8"/>
  <c r="L294" i="8" s="1"/>
  <c r="K292" i="8"/>
  <c r="L292" i="8" s="1"/>
  <c r="K290" i="8"/>
  <c r="L290" i="8" s="1"/>
  <c r="K288" i="8"/>
  <c r="L288" i="8" s="1"/>
  <c r="K286" i="8"/>
  <c r="L286" i="8" s="1"/>
  <c r="K284" i="8"/>
  <c r="L284" i="8" s="1"/>
  <c r="K282" i="8"/>
  <c r="L282" i="8" s="1"/>
  <c r="K280" i="8"/>
  <c r="L280" i="8" s="1"/>
  <c r="K278" i="8"/>
  <c r="L278" i="8" s="1"/>
  <c r="K272" i="8"/>
  <c r="L272" i="8" s="1"/>
  <c r="K270" i="8"/>
  <c r="L270" i="8" s="1"/>
  <c r="K268" i="8"/>
  <c r="L268" i="8" s="1"/>
  <c r="K266" i="8"/>
  <c r="L266" i="8" s="1"/>
  <c r="K264" i="8"/>
  <c r="L264" i="8" s="1"/>
  <c r="K389" i="8"/>
  <c r="L389" i="8" s="1"/>
  <c r="K358" i="8"/>
  <c r="L358" i="8" s="1"/>
  <c r="K350" i="8"/>
  <c r="L350" i="8" s="1"/>
  <c r="K342" i="8"/>
  <c r="L342" i="8" s="1"/>
  <c r="K334" i="8"/>
  <c r="L334" i="8" s="1"/>
  <c r="K326" i="8"/>
  <c r="L326" i="8" s="1"/>
  <c r="K318" i="8"/>
  <c r="L318" i="8" s="1"/>
  <c r="K310" i="8"/>
  <c r="L310" i="8" s="1"/>
  <c r="K388" i="8"/>
  <c r="L388" i="8" s="1"/>
  <c r="K360" i="8"/>
  <c r="L360" i="8" s="1"/>
  <c r="K355" i="8"/>
  <c r="L355" i="8" s="1"/>
  <c r="K351" i="8"/>
  <c r="L351" i="8" s="1"/>
  <c r="K347" i="8"/>
  <c r="L347" i="8" s="1"/>
  <c r="K343" i="8"/>
  <c r="L343" i="8" s="1"/>
  <c r="K339" i="8"/>
  <c r="L339" i="8" s="1"/>
  <c r="K335" i="8"/>
  <c r="L335" i="8" s="1"/>
  <c r="K331" i="8"/>
  <c r="L331" i="8" s="1"/>
  <c r="K327" i="8"/>
  <c r="L327" i="8" s="1"/>
  <c r="K323" i="8"/>
  <c r="L323" i="8" s="1"/>
  <c r="K319" i="8"/>
  <c r="L319" i="8" s="1"/>
  <c r="K315" i="8"/>
  <c r="L315" i="8" s="1"/>
  <c r="K311" i="8"/>
  <c r="L311" i="8" s="1"/>
  <c r="K219" i="8"/>
  <c r="L219" i="8" s="1"/>
  <c r="K206" i="8"/>
  <c r="L206" i="8" s="1"/>
  <c r="K182" i="8"/>
  <c r="L182" i="8" s="1"/>
  <c r="K171" i="8"/>
  <c r="L171" i="8" s="1"/>
  <c r="K250" i="8"/>
  <c r="L250" i="8" s="1"/>
  <c r="K247" i="8"/>
  <c r="L247" i="8" s="1"/>
  <c r="K244" i="8"/>
  <c r="L244" i="8" s="1"/>
  <c r="K241" i="8"/>
  <c r="L241" i="8" s="1"/>
  <c r="K238" i="8"/>
  <c r="L238" i="8" s="1"/>
  <c r="K221" i="8"/>
  <c r="L221" i="8" s="1"/>
  <c r="K208" i="8"/>
  <c r="L208" i="8" s="1"/>
  <c r="K197" i="8"/>
  <c r="L197" i="8" s="1"/>
  <c r="K184" i="8"/>
  <c r="L184" i="8" s="1"/>
  <c r="K173" i="8"/>
  <c r="L173" i="8" s="1"/>
  <c r="K260" i="8"/>
  <c r="L260" i="8" s="1"/>
  <c r="K235" i="8"/>
  <c r="L235" i="8" s="1"/>
  <c r="K223" i="8"/>
  <c r="L223" i="8" s="1"/>
  <c r="K210" i="8"/>
  <c r="L210" i="8" s="1"/>
  <c r="K199" i="8"/>
  <c r="L199" i="8" s="1"/>
  <c r="K186" i="8"/>
  <c r="L186" i="8" s="1"/>
  <c r="K175" i="8"/>
  <c r="L175" i="8" s="1"/>
  <c r="K230" i="8"/>
  <c r="L230" i="8" s="1"/>
  <c r="K225" i="8"/>
  <c r="L225" i="8" s="1"/>
  <c r="K212" i="8"/>
  <c r="L212" i="8" s="1"/>
  <c r="K201" i="8"/>
  <c r="L201" i="8" s="1"/>
  <c r="K188" i="8"/>
  <c r="L188" i="8" s="1"/>
  <c r="K177" i="8"/>
  <c r="L177" i="8" s="1"/>
  <c r="K377" i="8"/>
  <c r="L377" i="8" s="1"/>
  <c r="K249" i="8"/>
  <c r="L249" i="8" s="1"/>
  <c r="K246" i="8"/>
  <c r="L246" i="8" s="1"/>
  <c r="K243" i="8"/>
  <c r="L243" i="8" s="1"/>
  <c r="K240" i="8"/>
  <c r="L240" i="8" s="1"/>
  <c r="K237" i="8"/>
  <c r="L237" i="8" s="1"/>
  <c r="K232" i="8"/>
  <c r="L232" i="8" s="1"/>
  <c r="K227" i="8"/>
  <c r="L227" i="8" s="1"/>
  <c r="K216" i="8"/>
  <c r="L216" i="8" s="1"/>
  <c r="K205" i="8"/>
  <c r="L205" i="8" s="1"/>
  <c r="K192" i="8"/>
  <c r="L192" i="8" s="1"/>
  <c r="K181" i="8"/>
  <c r="L181" i="8" s="1"/>
  <c r="K168" i="8"/>
  <c r="L168" i="8" s="1"/>
  <c r="K234" i="8"/>
  <c r="L234" i="8" s="1"/>
  <c r="K229" i="8"/>
  <c r="L229" i="8" s="1"/>
  <c r="K220" i="8"/>
  <c r="L220" i="8" s="1"/>
  <c r="K209" i="8"/>
  <c r="L209" i="8" s="1"/>
  <c r="K196" i="8"/>
  <c r="L196" i="8" s="1"/>
  <c r="K172" i="8"/>
  <c r="L172" i="8" s="1"/>
  <c r="K222" i="8"/>
  <c r="L222" i="8" s="1"/>
  <c r="K211" i="8"/>
  <c r="L211" i="8" s="1"/>
  <c r="K198" i="8"/>
  <c r="L198" i="8" s="1"/>
  <c r="K187" i="8"/>
  <c r="L187" i="8" s="1"/>
  <c r="K174" i="8"/>
  <c r="L174" i="8" s="1"/>
  <c r="K352" i="8"/>
  <c r="L352" i="8" s="1"/>
  <c r="K328" i="8"/>
  <c r="L328" i="8" s="1"/>
  <c r="K215" i="8"/>
  <c r="L215" i="8" s="1"/>
  <c r="K194" i="8"/>
  <c r="L194" i="8" s="1"/>
  <c r="K126" i="8"/>
  <c r="L126" i="8" s="1"/>
  <c r="K114" i="8"/>
  <c r="L114" i="8" s="1"/>
  <c r="K102" i="8"/>
  <c r="L102" i="8" s="1"/>
  <c r="K90" i="8"/>
  <c r="L90" i="8" s="1"/>
  <c r="K78" i="8"/>
  <c r="L78" i="8" s="1"/>
  <c r="K65" i="8"/>
  <c r="L65" i="8" s="1"/>
  <c r="K54" i="8"/>
  <c r="L54" i="8" s="1"/>
  <c r="K191" i="8"/>
  <c r="L191" i="8" s="1"/>
  <c r="K165" i="8"/>
  <c r="L165" i="8" s="1"/>
  <c r="K157" i="8"/>
  <c r="L157" i="8" s="1"/>
  <c r="K149" i="8"/>
  <c r="L149" i="8" s="1"/>
  <c r="K141" i="8"/>
  <c r="L141" i="8" s="1"/>
  <c r="K133" i="8"/>
  <c r="L133" i="8" s="1"/>
  <c r="K121" i="8"/>
  <c r="L121" i="8" s="1"/>
  <c r="K109" i="8"/>
  <c r="L109" i="8" s="1"/>
  <c r="K97" i="8"/>
  <c r="L97" i="8" s="1"/>
  <c r="K85" i="8"/>
  <c r="L85" i="8" s="1"/>
  <c r="K67" i="8"/>
  <c r="L67" i="8" s="1"/>
  <c r="K56" i="8"/>
  <c r="L56" i="8" s="1"/>
  <c r="K356" i="8"/>
  <c r="L356" i="8" s="1"/>
  <c r="K332" i="8"/>
  <c r="L332" i="8" s="1"/>
  <c r="K248" i="8"/>
  <c r="L248" i="8" s="1"/>
  <c r="K239" i="8"/>
  <c r="L239" i="8" s="1"/>
  <c r="K207" i="8"/>
  <c r="L207" i="8" s="1"/>
  <c r="K204" i="8"/>
  <c r="L204" i="8" s="1"/>
  <c r="K170" i="8"/>
  <c r="L170" i="8" s="1"/>
  <c r="K162" i="8"/>
  <c r="L162" i="8" s="1"/>
  <c r="K154" i="8"/>
  <c r="L154" i="8" s="1"/>
  <c r="K146" i="8"/>
  <c r="L146" i="8" s="1"/>
  <c r="K138" i="8"/>
  <c r="L138" i="8" s="1"/>
  <c r="K128" i="8"/>
  <c r="L128" i="8" s="1"/>
  <c r="K116" i="8"/>
  <c r="L116" i="8" s="1"/>
  <c r="K92" i="8"/>
  <c r="L92" i="8" s="1"/>
  <c r="K80" i="8"/>
  <c r="L80" i="8" s="1"/>
  <c r="K69" i="8"/>
  <c r="L69" i="8" s="1"/>
  <c r="K58" i="8"/>
  <c r="L58" i="8" s="1"/>
  <c r="K252" i="8"/>
  <c r="L252" i="8" s="1"/>
  <c r="K231" i="8"/>
  <c r="L231" i="8" s="1"/>
  <c r="K224" i="8"/>
  <c r="L224" i="8" s="1"/>
  <c r="K214" i="8"/>
  <c r="L214" i="8" s="1"/>
  <c r="K200" i="8"/>
  <c r="L200" i="8" s="1"/>
  <c r="K123" i="8"/>
  <c r="L123" i="8" s="1"/>
  <c r="K111" i="8"/>
  <c r="L111" i="8" s="1"/>
  <c r="K99" i="8"/>
  <c r="L99" i="8" s="1"/>
  <c r="K87" i="8"/>
  <c r="L87" i="8" s="1"/>
  <c r="K71" i="8"/>
  <c r="L71" i="8" s="1"/>
  <c r="K60" i="8"/>
  <c r="L60" i="8" s="1"/>
  <c r="K47" i="8"/>
  <c r="L47" i="8" s="1"/>
  <c r="K43" i="8"/>
  <c r="L43" i="8" s="1"/>
  <c r="K39" i="8"/>
  <c r="L39" i="8" s="1"/>
  <c r="K37" i="8"/>
  <c r="L37" i="8" s="1"/>
  <c r="K35" i="8"/>
  <c r="L35" i="8" s="1"/>
  <c r="K33" i="8"/>
  <c r="L33" i="8" s="1"/>
  <c r="K31" i="8"/>
  <c r="L31" i="8" s="1"/>
  <c r="K29" i="8"/>
  <c r="L29" i="8" s="1"/>
  <c r="K27" i="8"/>
  <c r="L27" i="8" s="1"/>
  <c r="K25" i="8"/>
  <c r="L25" i="8" s="1"/>
  <c r="K23" i="8"/>
  <c r="L23" i="8" s="1"/>
  <c r="K21" i="8"/>
  <c r="L21" i="8" s="1"/>
  <c r="K19" i="8"/>
  <c r="L19" i="8" s="1"/>
  <c r="K17" i="8"/>
  <c r="L17" i="8" s="1"/>
  <c r="K15" i="8"/>
  <c r="L15" i="8" s="1"/>
  <c r="K13" i="8"/>
  <c r="L13" i="8" s="1"/>
  <c r="K11" i="8"/>
  <c r="L11" i="8" s="1"/>
  <c r="K9" i="8"/>
  <c r="L9" i="8" s="1"/>
  <c r="K7" i="8"/>
  <c r="L7" i="8" s="1"/>
  <c r="K5" i="8"/>
  <c r="L5" i="8" s="1"/>
  <c r="K312" i="8"/>
  <c r="L312" i="8" s="1"/>
  <c r="K256" i="8"/>
  <c r="L256" i="8" s="1"/>
  <c r="K217" i="8"/>
  <c r="L217" i="8" s="1"/>
  <c r="K190" i="8"/>
  <c r="L190" i="8" s="1"/>
  <c r="K183" i="8"/>
  <c r="L183" i="8" s="1"/>
  <c r="K180" i="8"/>
  <c r="L180" i="8" s="1"/>
  <c r="K167" i="8"/>
  <c r="L167" i="8" s="1"/>
  <c r="K159" i="8"/>
  <c r="L159" i="8" s="1"/>
  <c r="K151" i="8"/>
  <c r="L151" i="8" s="1"/>
  <c r="K143" i="8"/>
  <c r="L143" i="8" s="1"/>
  <c r="K135" i="8"/>
  <c r="L135" i="8" s="1"/>
  <c r="K130" i="8"/>
  <c r="L130" i="8" s="1"/>
  <c r="K118" i="8"/>
  <c r="L118" i="8" s="1"/>
  <c r="K106" i="8"/>
  <c r="L106" i="8" s="1"/>
  <c r="K94" i="8"/>
  <c r="L94" i="8" s="1"/>
  <c r="K82" i="8"/>
  <c r="L82" i="8" s="1"/>
  <c r="K73" i="8"/>
  <c r="L73" i="8" s="1"/>
  <c r="K62" i="8"/>
  <c r="L62" i="8" s="1"/>
  <c r="K49" i="8"/>
  <c r="L49" i="8" s="1"/>
  <c r="K203" i="8"/>
  <c r="L203" i="8" s="1"/>
  <c r="K193" i="8"/>
  <c r="L193" i="8" s="1"/>
  <c r="K176" i="8"/>
  <c r="L176" i="8" s="1"/>
  <c r="K164" i="8"/>
  <c r="L164" i="8" s="1"/>
  <c r="K156" i="8"/>
  <c r="L156" i="8" s="1"/>
  <c r="K148" i="8"/>
  <c r="L148" i="8" s="1"/>
  <c r="K140" i="8"/>
  <c r="L140" i="8" s="1"/>
  <c r="K125" i="8"/>
  <c r="L125" i="8" s="1"/>
  <c r="K113" i="8"/>
  <c r="L113" i="8" s="1"/>
  <c r="K101" i="8"/>
  <c r="L101" i="8" s="1"/>
  <c r="K89" i="8"/>
  <c r="L89" i="8" s="1"/>
  <c r="K75" i="8"/>
  <c r="L75" i="8" s="1"/>
  <c r="K64" i="8"/>
  <c r="L64" i="8" s="1"/>
  <c r="K51" i="8"/>
  <c r="L51" i="8" s="1"/>
  <c r="K366" i="8"/>
  <c r="L366" i="8" s="1"/>
  <c r="K340" i="8"/>
  <c r="L340" i="8" s="1"/>
  <c r="K316" i="8"/>
  <c r="L316" i="8" s="1"/>
  <c r="K242" i="8"/>
  <c r="L242" i="8" s="1"/>
  <c r="K213" i="8"/>
  <c r="L213" i="8" s="1"/>
  <c r="K132" i="8"/>
  <c r="L132" i="8" s="1"/>
  <c r="K120" i="8"/>
  <c r="L120" i="8" s="1"/>
  <c r="K108" i="8"/>
  <c r="L108" i="8" s="1"/>
  <c r="K96" i="8"/>
  <c r="L96" i="8" s="1"/>
  <c r="K84" i="8"/>
  <c r="L84" i="8" s="1"/>
  <c r="K77" i="8"/>
  <c r="L77" i="8" s="1"/>
  <c r="K66" i="8"/>
  <c r="L66" i="8" s="1"/>
  <c r="K53" i="8"/>
  <c r="L53" i="8" s="1"/>
  <c r="K189" i="8"/>
  <c r="L189" i="8" s="1"/>
  <c r="K179" i="8"/>
  <c r="L179" i="8" s="1"/>
  <c r="K169" i="8"/>
  <c r="L169" i="8" s="1"/>
  <c r="K161" i="8"/>
  <c r="L161" i="8" s="1"/>
  <c r="K153" i="8"/>
  <c r="L153" i="8" s="1"/>
  <c r="K145" i="8"/>
  <c r="L145" i="8" s="1"/>
  <c r="K137" i="8"/>
  <c r="L137" i="8" s="1"/>
  <c r="K127" i="8"/>
  <c r="L127" i="8" s="1"/>
  <c r="K115" i="8"/>
  <c r="L115" i="8" s="1"/>
  <c r="K91" i="8"/>
  <c r="L91" i="8" s="1"/>
  <c r="K68" i="8"/>
  <c r="L68" i="8" s="1"/>
  <c r="K55" i="8"/>
  <c r="L55" i="8" s="1"/>
  <c r="K344" i="8"/>
  <c r="L344" i="8" s="1"/>
  <c r="K233" i="8"/>
  <c r="L233" i="8" s="1"/>
  <c r="K166" i="8"/>
  <c r="L166" i="8" s="1"/>
  <c r="K158" i="8"/>
  <c r="L158" i="8" s="1"/>
  <c r="K150" i="8"/>
  <c r="L150" i="8" s="1"/>
  <c r="K142" i="8"/>
  <c r="L142" i="8" s="1"/>
  <c r="K134" i="8"/>
  <c r="L134" i="8" s="1"/>
  <c r="K122" i="8"/>
  <c r="L122" i="8" s="1"/>
  <c r="K110" i="8"/>
  <c r="L110" i="8" s="1"/>
  <c r="K98" i="8"/>
  <c r="L98" i="8" s="1"/>
  <c r="K86" i="8"/>
  <c r="L86" i="8" s="1"/>
  <c r="K70" i="8"/>
  <c r="L70" i="8" s="1"/>
  <c r="K129" i="8"/>
  <c r="L129" i="8" s="1"/>
  <c r="K117" i="8"/>
  <c r="L117" i="8" s="1"/>
  <c r="K105" i="8"/>
  <c r="L105" i="8" s="1"/>
  <c r="K93" i="8"/>
  <c r="L93" i="8" s="1"/>
  <c r="K81" i="8"/>
  <c r="L81" i="8" s="1"/>
  <c r="K72" i="8"/>
  <c r="L72" i="8" s="1"/>
  <c r="K59" i="8"/>
  <c r="L59" i="8" s="1"/>
  <c r="K48" i="8"/>
  <c r="L48" i="8" s="1"/>
  <c r="K46" i="8"/>
  <c r="L46" i="8" s="1"/>
  <c r="K44" i="8"/>
  <c r="L44" i="8" s="1"/>
  <c r="K42" i="8"/>
  <c r="L42" i="8" s="1"/>
  <c r="K40" i="8"/>
  <c r="L40" i="8" s="1"/>
  <c r="K38" i="8"/>
  <c r="L38" i="8" s="1"/>
  <c r="K36" i="8"/>
  <c r="L36" i="8" s="1"/>
  <c r="K34" i="8"/>
  <c r="L34" i="8" s="1"/>
  <c r="K32" i="8"/>
  <c r="L32" i="8" s="1"/>
  <c r="K30" i="8"/>
  <c r="L30" i="8" s="1"/>
  <c r="K28" i="8"/>
  <c r="L28" i="8" s="1"/>
  <c r="K26" i="8"/>
  <c r="L26" i="8" s="1"/>
  <c r="K24" i="8"/>
  <c r="L24" i="8" s="1"/>
  <c r="K22" i="8"/>
  <c r="L22" i="8" s="1"/>
  <c r="K20" i="8"/>
  <c r="L20" i="8" s="1"/>
  <c r="K18" i="8"/>
  <c r="L18" i="8" s="1"/>
  <c r="K16" i="8"/>
  <c r="L16" i="8" s="1"/>
  <c r="K14" i="8"/>
  <c r="L14" i="8" s="1"/>
  <c r="K12" i="8"/>
  <c r="L12" i="8" s="1"/>
  <c r="K10" i="8"/>
  <c r="L10" i="8" s="1"/>
  <c r="K8" i="8"/>
  <c r="L8" i="8" s="1"/>
  <c r="K6" i="8"/>
  <c r="L6" i="8" s="1"/>
  <c r="K348" i="8"/>
  <c r="L348" i="8" s="1"/>
  <c r="K324" i="8"/>
  <c r="L324" i="8" s="1"/>
  <c r="K254" i="8"/>
  <c r="L254" i="8" s="1"/>
  <c r="K245" i="8"/>
  <c r="L245" i="8" s="1"/>
  <c r="K226" i="8"/>
  <c r="L226" i="8" s="1"/>
  <c r="K202" i="8"/>
  <c r="L202" i="8" s="1"/>
  <c r="K163" i="8"/>
  <c r="L163" i="8" s="1"/>
  <c r="K155" i="8"/>
  <c r="L155" i="8" s="1"/>
  <c r="K147" i="8"/>
  <c r="L147" i="8" s="1"/>
  <c r="K139" i="8"/>
  <c r="L139" i="8" s="1"/>
  <c r="K124" i="8"/>
  <c r="L124" i="8" s="1"/>
  <c r="K112" i="8"/>
  <c r="L112" i="8" s="1"/>
  <c r="K100" i="8"/>
  <c r="L100" i="8" s="1"/>
  <c r="K88" i="8"/>
  <c r="L88" i="8" s="1"/>
  <c r="K74" i="8"/>
  <c r="L74" i="8" s="1"/>
  <c r="K61" i="8"/>
  <c r="L61" i="8" s="1"/>
  <c r="K50" i="8"/>
  <c r="L50" i="8" s="1"/>
  <c r="K258" i="8"/>
  <c r="L258" i="8" s="1"/>
  <c r="K236" i="8"/>
  <c r="L236" i="8" s="1"/>
  <c r="K218" i="8"/>
  <c r="L218" i="8" s="1"/>
  <c r="K160" i="8"/>
  <c r="L160" i="8" s="1"/>
  <c r="K152" i="8"/>
  <c r="L152" i="8" s="1"/>
  <c r="K144" i="8"/>
  <c r="L144" i="8" s="1"/>
  <c r="K136" i="8"/>
  <c r="L136" i="8" s="1"/>
  <c r="K119" i="8"/>
  <c r="L119" i="8" s="1"/>
  <c r="K107" i="8"/>
  <c r="L107" i="8" s="1"/>
  <c r="K95" i="8"/>
  <c r="L95" i="8" s="1"/>
  <c r="K83" i="8"/>
  <c r="L83" i="8" s="1"/>
  <c r="K76" i="8"/>
  <c r="L76" i="8" s="1"/>
  <c r="K63" i="8"/>
  <c r="L63" i="8" s="1"/>
  <c r="K52" i="8"/>
  <c r="L52" i="8" s="1"/>
  <c r="L520" i="6"/>
  <c r="L514" i="6"/>
  <c r="L508" i="6"/>
  <c r="L502" i="6"/>
  <c r="L496" i="6"/>
  <c r="L490" i="6"/>
  <c r="L519" i="6"/>
  <c r="L518" i="6"/>
  <c r="L512" i="6"/>
  <c r="L506" i="6"/>
  <c r="L500" i="6"/>
  <c r="L494" i="6"/>
  <c r="L488" i="6"/>
  <c r="L482" i="6"/>
  <c r="L522" i="6"/>
  <c r="L516" i="6"/>
  <c r="L498" i="6"/>
  <c r="L465" i="6"/>
  <c r="L505" i="6"/>
  <c r="L501" i="6"/>
  <c r="L477" i="6"/>
  <c r="L471" i="6"/>
  <c r="L459" i="6"/>
  <c r="L453" i="6"/>
  <c r="L447" i="6"/>
  <c r="L509" i="6"/>
  <c r="L491" i="6"/>
  <c r="L466" i="6"/>
  <c r="L434" i="6"/>
  <c r="L433" i="6"/>
  <c r="L487" i="6"/>
  <c r="L478" i="6"/>
  <c r="L472" i="6"/>
  <c r="L460" i="6"/>
  <c r="L454" i="6"/>
  <c r="L448" i="6"/>
  <c r="L442" i="6"/>
  <c r="L432" i="6"/>
  <c r="L426" i="6"/>
  <c r="L420" i="6"/>
  <c r="L510" i="6"/>
  <c r="L492" i="6"/>
  <c r="L473" i="6"/>
  <c r="L461" i="6"/>
  <c r="L455" i="6"/>
  <c r="L449" i="6"/>
  <c r="L443" i="6"/>
  <c r="L517" i="6"/>
  <c r="L513" i="6"/>
  <c r="L499" i="6"/>
  <c r="L495" i="6"/>
  <c r="L483" i="6"/>
  <c r="L479" i="6"/>
  <c r="L474" i="6"/>
  <c r="L468" i="6"/>
  <c r="L462" i="6"/>
  <c r="L456" i="6"/>
  <c r="L450" i="6"/>
  <c r="L444" i="6"/>
  <c r="L431" i="6"/>
  <c r="L425" i="6"/>
  <c r="L419" i="6"/>
  <c r="L413" i="6"/>
  <c r="L407" i="6"/>
  <c r="L401" i="6"/>
  <c r="L511" i="6"/>
  <c r="L507" i="6"/>
  <c r="L493" i="6"/>
  <c r="L489" i="6"/>
  <c r="L485" i="6"/>
  <c r="L480" i="6"/>
  <c r="L475" i="6"/>
  <c r="L458" i="6"/>
  <c r="L438" i="6"/>
  <c r="L381" i="6"/>
  <c r="L375" i="6"/>
  <c r="L369" i="6"/>
  <c r="L363" i="6"/>
  <c r="L357" i="6"/>
  <c r="L351" i="6"/>
  <c r="L345" i="6"/>
  <c r="L339" i="6"/>
  <c r="S339" i="6" s="1"/>
  <c r="L333" i="6"/>
  <c r="L463" i="6"/>
  <c r="L430" i="6"/>
  <c r="L408" i="6"/>
  <c r="L504" i="6"/>
  <c r="L422" i="6"/>
  <c r="L421" i="6"/>
  <c r="L411" i="6"/>
  <c r="L410" i="6"/>
  <c r="L409" i="6"/>
  <c r="L380" i="6"/>
  <c r="L521" i="6"/>
  <c r="L439" i="6"/>
  <c r="L423" i="6"/>
  <c r="L412" i="6"/>
  <c r="L523" i="6"/>
  <c r="L445" i="6"/>
  <c r="L395" i="6"/>
  <c r="L394" i="6"/>
  <c r="L393" i="6"/>
  <c r="S393" i="6" s="1"/>
  <c r="L389" i="6"/>
  <c r="L379" i="6"/>
  <c r="L469" i="6"/>
  <c r="L452" i="6"/>
  <c r="L424" i="6"/>
  <c r="L414" i="6"/>
  <c r="L396" i="6"/>
  <c r="L392" i="6"/>
  <c r="L390" i="6"/>
  <c r="L388" i="6"/>
  <c r="L481" i="6"/>
  <c r="L464" i="6"/>
  <c r="S464" i="6" s="1"/>
  <c r="L417" i="6"/>
  <c r="L400" i="6"/>
  <c r="L386" i="6"/>
  <c r="L503" i="6"/>
  <c r="L486" i="6"/>
  <c r="L437" i="6"/>
  <c r="L441" i="6"/>
  <c r="L427" i="6"/>
  <c r="L405" i="6"/>
  <c r="L402" i="6"/>
  <c r="L435" i="6"/>
  <c r="L391" i="6"/>
  <c r="L371" i="6"/>
  <c r="L370" i="6"/>
  <c r="L484" i="6"/>
  <c r="L415" i="6"/>
  <c r="L398" i="6"/>
  <c r="L384" i="6"/>
  <c r="L362" i="6"/>
  <c r="L354" i="6"/>
  <c r="L344" i="6"/>
  <c r="L341" i="6"/>
  <c r="L324" i="6"/>
  <c r="L451" i="6"/>
  <c r="L428" i="6"/>
  <c r="L387" i="6"/>
  <c r="L355" i="6"/>
  <c r="L347" i="6"/>
  <c r="L323" i="6"/>
  <c r="L312" i="6"/>
  <c r="S312" i="6" s="1"/>
  <c r="L306" i="6"/>
  <c r="L300" i="6"/>
  <c r="L294" i="6"/>
  <c r="L288" i="6"/>
  <c r="L282" i="6"/>
  <c r="L276" i="6"/>
  <c r="L270" i="6"/>
  <c r="L264" i="6"/>
  <c r="L515" i="6"/>
  <c r="L372" i="6"/>
  <c r="L365" i="6"/>
  <c r="L364" i="6"/>
  <c r="L346" i="6"/>
  <c r="L340" i="6"/>
  <c r="S340" i="6" s="1"/>
  <c r="L338" i="6"/>
  <c r="L337" i="6"/>
  <c r="L336" i="6"/>
  <c r="L335" i="6"/>
  <c r="L406" i="6"/>
  <c r="L403" i="6"/>
  <c r="L378" i="6"/>
  <c r="L356" i="6"/>
  <c r="L348" i="6"/>
  <c r="L322" i="6"/>
  <c r="L457" i="6"/>
  <c r="L446" i="6"/>
  <c r="L436" i="6"/>
  <c r="L429" i="6"/>
  <c r="L416" i="6"/>
  <c r="L382" i="6"/>
  <c r="M382" i="6" s="1"/>
  <c r="L366" i="6"/>
  <c r="L359" i="6"/>
  <c r="L358" i="6"/>
  <c r="L349" i="6"/>
  <c r="L331" i="6"/>
  <c r="L319" i="6"/>
  <c r="L310" i="6"/>
  <c r="L304" i="6"/>
  <c r="L298" i="6"/>
  <c r="L292" i="6"/>
  <c r="L286" i="6"/>
  <c r="L404" i="6"/>
  <c r="L383" i="6"/>
  <c r="L367" i="6"/>
  <c r="L350" i="6"/>
  <c r="L329" i="6"/>
  <c r="L317" i="6"/>
  <c r="L309" i="6"/>
  <c r="L303" i="6"/>
  <c r="L360" i="6"/>
  <c r="L399" i="6"/>
  <c r="L316" i="6"/>
  <c r="L308" i="6"/>
  <c r="L273" i="6"/>
  <c r="L272" i="6"/>
  <c r="L244" i="6"/>
  <c r="L232" i="6"/>
  <c r="L220" i="6"/>
  <c r="L210" i="6"/>
  <c r="L209" i="6"/>
  <c r="L199" i="6"/>
  <c r="L193" i="6"/>
  <c r="L187" i="6"/>
  <c r="L181" i="6"/>
  <c r="L175" i="6"/>
  <c r="L497" i="6"/>
  <c r="L440" i="6"/>
  <c r="L377" i="6"/>
  <c r="L325" i="6"/>
  <c r="L299" i="6"/>
  <c r="L293" i="6"/>
  <c r="L287" i="6"/>
  <c r="L274" i="6"/>
  <c r="L271" i="6"/>
  <c r="L243" i="6"/>
  <c r="L231" i="6"/>
  <c r="L219" i="6"/>
  <c r="L385" i="6"/>
  <c r="L361" i="6"/>
  <c r="M361" i="6" s="1"/>
  <c r="L313" i="6"/>
  <c r="L275" i="6"/>
  <c r="L242" i="6"/>
  <c r="L230" i="6"/>
  <c r="L218" i="6"/>
  <c r="L207" i="6"/>
  <c r="L470" i="6"/>
  <c r="L314" i="6"/>
  <c r="L280" i="6"/>
  <c r="L277" i="6"/>
  <c r="L241" i="6"/>
  <c r="L229" i="6"/>
  <c r="L217" i="6"/>
  <c r="L197" i="6"/>
  <c r="L191" i="6"/>
  <c r="L330" i="6"/>
  <c r="L320" i="6"/>
  <c r="L311" i="6"/>
  <c r="M311" i="6" s="1"/>
  <c r="L296" i="6"/>
  <c r="L290" i="6"/>
  <c r="L284" i="6"/>
  <c r="L283" i="6"/>
  <c r="L262" i="6"/>
  <c r="M262" i="6" s="1"/>
  <c r="L259" i="6"/>
  <c r="L253" i="6"/>
  <c r="L249" i="6"/>
  <c r="L237" i="6"/>
  <c r="L225" i="6"/>
  <c r="L214" i="6"/>
  <c r="L202" i="6"/>
  <c r="L476" i="6"/>
  <c r="L376" i="6"/>
  <c r="L318" i="6"/>
  <c r="L315" i="6"/>
  <c r="L285" i="6"/>
  <c r="L397" i="6"/>
  <c r="L267" i="6"/>
  <c r="L263" i="6"/>
  <c r="L260" i="6"/>
  <c r="L236" i="6"/>
  <c r="L235" i="6"/>
  <c r="L215" i="6"/>
  <c r="M215" i="6" s="1"/>
  <c r="L208" i="6"/>
  <c r="L174" i="6"/>
  <c r="L171" i="6"/>
  <c r="L160" i="6"/>
  <c r="L159" i="6"/>
  <c r="L148" i="6"/>
  <c r="L136" i="6"/>
  <c r="L135" i="6"/>
  <c r="L124" i="6"/>
  <c r="L112" i="6"/>
  <c r="L106" i="6"/>
  <c r="L100" i="6"/>
  <c r="S100" i="6" s="1"/>
  <c r="L94" i="6"/>
  <c r="L88" i="6"/>
  <c r="L82" i="6"/>
  <c r="L368" i="6"/>
  <c r="L334" i="6"/>
  <c r="L257" i="6"/>
  <c r="M257" i="6" s="1"/>
  <c r="L245" i="6"/>
  <c r="L240" i="6"/>
  <c r="L173" i="6"/>
  <c r="L172" i="6"/>
  <c r="L170" i="6"/>
  <c r="L158" i="6"/>
  <c r="M158" i="6" s="1"/>
  <c r="L146" i="6"/>
  <c r="L134" i="6"/>
  <c r="L374" i="6"/>
  <c r="L301" i="6"/>
  <c r="L250" i="6"/>
  <c r="L221" i="6"/>
  <c r="L321" i="6"/>
  <c r="L291" i="6"/>
  <c r="L258" i="6"/>
  <c r="L254" i="6"/>
  <c r="L226" i="6"/>
  <c r="L216" i="6"/>
  <c r="L332" i="6"/>
  <c r="L307" i="6"/>
  <c r="L261" i="6"/>
  <c r="L251" i="6"/>
  <c r="L246" i="6"/>
  <c r="L203" i="6"/>
  <c r="L122" i="6"/>
  <c r="L116" i="6"/>
  <c r="L110" i="6"/>
  <c r="L352" i="6"/>
  <c r="L328" i="6"/>
  <c r="L326" i="6"/>
  <c r="L281" i="6"/>
  <c r="L278" i="6"/>
  <c r="L268" i="6"/>
  <c r="L255" i="6"/>
  <c r="L247" i="6"/>
  <c r="L227" i="6"/>
  <c r="L222" i="6"/>
  <c r="L167" i="6"/>
  <c r="L155" i="6"/>
  <c r="L143" i="6"/>
  <c r="L131" i="6"/>
  <c r="L289" i="6"/>
  <c r="L252" i="6"/>
  <c r="L248" i="6"/>
  <c r="L223" i="6"/>
  <c r="L418" i="6"/>
  <c r="L353" i="6"/>
  <c r="L279" i="6"/>
  <c r="L256" i="6"/>
  <c r="L213" i="6"/>
  <c r="L206" i="6"/>
  <c r="L200" i="6"/>
  <c r="M200" i="6" s="1"/>
  <c r="L198" i="6"/>
  <c r="M198" i="6" s="1"/>
  <c r="L196" i="6"/>
  <c r="L185" i="6"/>
  <c r="L184" i="6"/>
  <c r="L182" i="6"/>
  <c r="L162" i="6"/>
  <c r="L150" i="6"/>
  <c r="L121" i="6"/>
  <c r="L109" i="6"/>
  <c r="L101" i="6"/>
  <c r="L99" i="6"/>
  <c r="L98" i="6"/>
  <c r="L97" i="6"/>
  <c r="L96" i="6"/>
  <c r="L72" i="6"/>
  <c r="L60" i="6"/>
  <c r="L52" i="6"/>
  <c r="L46" i="6"/>
  <c r="L40" i="6"/>
  <c r="L34" i="6"/>
  <c r="L28" i="6"/>
  <c r="L22" i="6"/>
  <c r="L16" i="6"/>
  <c r="L10" i="6"/>
  <c r="L327" i="6"/>
  <c r="L373" i="6"/>
  <c r="L305" i="6"/>
  <c r="L297" i="6"/>
  <c r="L266" i="6"/>
  <c r="L212" i="6"/>
  <c r="L204" i="6"/>
  <c r="L137" i="6"/>
  <c r="L130" i="6"/>
  <c r="L123" i="6"/>
  <c r="L111" i="6"/>
  <c r="L89" i="6"/>
  <c r="L87" i="6"/>
  <c r="L86" i="6"/>
  <c r="L85" i="6"/>
  <c r="L84" i="6"/>
  <c r="L68" i="6"/>
  <c r="L56" i="6"/>
  <c r="L50" i="6"/>
  <c r="L44" i="6"/>
  <c r="L295" i="6"/>
  <c r="L179" i="6"/>
  <c r="L165" i="6"/>
  <c r="L153" i="6"/>
  <c r="M153" i="6" s="1"/>
  <c r="L138" i="6"/>
  <c r="M138" i="6" s="1"/>
  <c r="L180" i="6"/>
  <c r="L125" i="6"/>
  <c r="L115" i="6"/>
  <c r="M115" i="6" s="1"/>
  <c r="L161" i="6"/>
  <c r="L133" i="6"/>
  <c r="L132" i="6"/>
  <c r="L127" i="6"/>
  <c r="L76" i="6"/>
  <c r="L75" i="6"/>
  <c r="L64" i="6"/>
  <c r="L63" i="6"/>
  <c r="M63" i="6" s="1"/>
  <c r="L302" i="6"/>
  <c r="L269" i="6"/>
  <c r="L265" i="6"/>
  <c r="L201" i="6"/>
  <c r="L195" i="6"/>
  <c r="L149" i="6"/>
  <c r="L128" i="6"/>
  <c r="L117" i="6"/>
  <c r="L107" i="6"/>
  <c r="L18" i="6"/>
  <c r="L36" i="6"/>
  <c r="R49" i="6"/>
  <c r="K57" i="6"/>
  <c r="M57" i="6" s="1"/>
  <c r="K78" i="6"/>
  <c r="M78" i="6" s="1"/>
  <c r="L79" i="6"/>
  <c r="K87" i="6"/>
  <c r="M87" i="6" s="1"/>
  <c r="K94" i="6"/>
  <c r="M94" i="6" s="1"/>
  <c r="L141" i="6"/>
  <c r="L144" i="6"/>
  <c r="L157" i="6"/>
  <c r="M182" i="6"/>
  <c r="L53" i="6"/>
  <c r="L57" i="6"/>
  <c r="W58" i="6"/>
  <c r="R58" i="6"/>
  <c r="K77" i="6"/>
  <c r="L78" i="6"/>
  <c r="M99" i="6"/>
  <c r="W122" i="6"/>
  <c r="L166" i="6"/>
  <c r="K184" i="6"/>
  <c r="Q184" i="6"/>
  <c r="R184" i="6" s="1"/>
  <c r="Q219" i="6"/>
  <c r="R219" i="6" s="1"/>
  <c r="K219" i="6"/>
  <c r="W282" i="6"/>
  <c r="R282" i="6"/>
  <c r="R6" i="6"/>
  <c r="L11" i="6"/>
  <c r="R16" i="6"/>
  <c r="L20" i="6"/>
  <c r="R24" i="6"/>
  <c r="L29" i="6"/>
  <c r="R34" i="6"/>
  <c r="L38" i="6"/>
  <c r="R46" i="6"/>
  <c r="Q48" i="6"/>
  <c r="R48" i="6" s="1"/>
  <c r="L54" i="6"/>
  <c r="L55" i="6"/>
  <c r="K56" i="6"/>
  <c r="R62" i="6"/>
  <c r="K66" i="6"/>
  <c r="M66" i="6" s="1"/>
  <c r="K67" i="6"/>
  <c r="Q69" i="6"/>
  <c r="R69" i="6" s="1"/>
  <c r="L77" i="6"/>
  <c r="K86" i="6"/>
  <c r="W94" i="6"/>
  <c r="R94" i="6"/>
  <c r="W97" i="6"/>
  <c r="L105" i="6"/>
  <c r="K110" i="6"/>
  <c r="Q110" i="6"/>
  <c r="L114" i="6"/>
  <c r="L156" i="6"/>
  <c r="L168" i="6"/>
  <c r="L177" i="6"/>
  <c r="W184" i="6"/>
  <c r="M188" i="6"/>
  <c r="Q193" i="6"/>
  <c r="R193" i="6" s="1"/>
  <c r="K193" i="6"/>
  <c r="M193" i="6" s="1"/>
  <c r="R200" i="6"/>
  <c r="W200" i="6"/>
  <c r="R202" i="6"/>
  <c r="Q249" i="6"/>
  <c r="K249" i="6"/>
  <c r="M249" i="6" s="1"/>
  <c r="K253" i="6"/>
  <c r="M253" i="6" s="1"/>
  <c r="Q253" i="6"/>
  <c r="R253" i="6" s="1"/>
  <c r="W266" i="6"/>
  <c r="R266" i="6"/>
  <c r="R19" i="6"/>
  <c r="L21" i="6"/>
  <c r="L39" i="6"/>
  <c r="K65" i="6"/>
  <c r="L66" i="6"/>
  <c r="L67" i="6"/>
  <c r="K76" i="6"/>
  <c r="Q76" i="6"/>
  <c r="Q85" i="6"/>
  <c r="M93" i="6"/>
  <c r="Q98" i="6"/>
  <c r="R98" i="6" s="1"/>
  <c r="M104" i="6"/>
  <c r="L113" i="6"/>
  <c r="W118" i="6"/>
  <c r="R118" i="6"/>
  <c r="Q121" i="6"/>
  <c r="R121" i="6" s="1"/>
  <c r="Q150" i="6"/>
  <c r="R150" i="6" s="1"/>
  <c r="Q173" i="6"/>
  <c r="R173" i="6" s="1"/>
  <c r="L188" i="6"/>
  <c r="M225" i="6"/>
  <c r="L12" i="6"/>
  <c r="L30" i="6"/>
  <c r="R55" i="6"/>
  <c r="Q57" i="6"/>
  <c r="R57" i="6" s="1"/>
  <c r="W63" i="6"/>
  <c r="L65" i="6"/>
  <c r="R67" i="6"/>
  <c r="K85" i="6"/>
  <c r="M85" i="6" s="1"/>
  <c r="L93" i="6"/>
  <c r="K98" i="6"/>
  <c r="M98" i="6" s="1"/>
  <c r="L104" i="6"/>
  <c r="W110" i="6"/>
  <c r="R110" i="6"/>
  <c r="K121" i="6"/>
  <c r="K124" i="6"/>
  <c r="Q124" i="6"/>
  <c r="K129" i="6"/>
  <c r="Q140" i="6"/>
  <c r="R140" i="6" s="1"/>
  <c r="K140" i="6"/>
  <c r="K150" i="6"/>
  <c r="W159" i="6"/>
  <c r="M165" i="6"/>
  <c r="K173" i="6"/>
  <c r="K197" i="6"/>
  <c r="M197" i="6" s="1"/>
  <c r="J5" i="5"/>
  <c r="L13" i="6"/>
  <c r="K14" i="6"/>
  <c r="L31" i="6"/>
  <c r="K32" i="6"/>
  <c r="M32" i="6" s="1"/>
  <c r="L41" i="6"/>
  <c r="K42" i="6"/>
  <c r="K64" i="6"/>
  <c r="M64" i="6" s="1"/>
  <c r="Q64" i="6"/>
  <c r="R64" i="6" s="1"/>
  <c r="R66" i="6"/>
  <c r="Q86" i="6"/>
  <c r="R86" i="6" s="1"/>
  <c r="L92" i="6"/>
  <c r="Q109" i="6"/>
  <c r="R109" i="6" s="1"/>
  <c r="W124" i="6"/>
  <c r="R124" i="6"/>
  <c r="L129" i="6"/>
  <c r="Q131" i="6"/>
  <c r="K131" i="6"/>
  <c r="M131" i="6" s="1"/>
  <c r="L140" i="6"/>
  <c r="Q185" i="6"/>
  <c r="R185" i="6" s="1"/>
  <c r="K185" i="6"/>
  <c r="M185" i="6" s="1"/>
  <c r="L190" i="6"/>
  <c r="W197" i="6"/>
  <c r="R197" i="6"/>
  <c r="Q285" i="6"/>
  <c r="K285" i="6"/>
  <c r="M285" i="6" s="1"/>
  <c r="L5" i="6"/>
  <c r="L14" i="6"/>
  <c r="L23" i="6"/>
  <c r="L32" i="6"/>
  <c r="L42" i="6"/>
  <c r="L43" i="6"/>
  <c r="M43" i="6" s="1"/>
  <c r="R75" i="6"/>
  <c r="Q77" i="6"/>
  <c r="R77" i="6" s="1"/>
  <c r="L83" i="6"/>
  <c r="R85" i="6"/>
  <c r="L90" i="6"/>
  <c r="L91" i="6"/>
  <c r="L103" i="6"/>
  <c r="M109" i="6"/>
  <c r="K116" i="6"/>
  <c r="M116" i="6" s="1"/>
  <c r="Q116" i="6"/>
  <c r="R116" i="6" s="1"/>
  <c r="Q126" i="6"/>
  <c r="K126" i="6"/>
  <c r="M126" i="6" s="1"/>
  <c r="R131" i="6"/>
  <c r="W131" i="6"/>
  <c r="M134" i="6"/>
  <c r="Q146" i="6"/>
  <c r="R146" i="6" s="1"/>
  <c r="K146" i="6"/>
  <c r="M146" i="6" s="1"/>
  <c r="L176" i="6"/>
  <c r="Q181" i="6"/>
  <c r="K181" i="6"/>
  <c r="M181" i="6" s="1"/>
  <c r="W185" i="6"/>
  <c r="W202" i="6"/>
  <c r="W210" i="6"/>
  <c r="M218" i="6"/>
  <c r="L233" i="6"/>
  <c r="L239" i="6"/>
  <c r="W243" i="6"/>
  <c r="M256" i="6"/>
  <c r="W7" i="6"/>
  <c r="R13" i="6"/>
  <c r="L15" i="6"/>
  <c r="W25" i="6"/>
  <c r="R31" i="6"/>
  <c r="L33" i="6"/>
  <c r="R41" i="6"/>
  <c r="L45" i="6"/>
  <c r="W47" i="6"/>
  <c r="Q73" i="6"/>
  <c r="R73" i="6" s="1"/>
  <c r="K73" i="6"/>
  <c r="M74" i="6"/>
  <c r="P76" i="6"/>
  <c r="K97" i="6"/>
  <c r="M97" i="6" s="1"/>
  <c r="M102" i="6"/>
  <c r="K112" i="6"/>
  <c r="M112" i="6" s="1"/>
  <c r="Q112" i="6"/>
  <c r="R112" i="6" s="1"/>
  <c r="M120" i="6"/>
  <c r="L126" i="6"/>
  <c r="Q129" i="6"/>
  <c r="R129" i="6" s="1"/>
  <c r="W137" i="6"/>
  <c r="R137" i="6"/>
  <c r="L152" i="6"/>
  <c r="L164" i="6"/>
  <c r="W181" i="6"/>
  <c r="R181" i="6"/>
  <c r="L192" i="6"/>
  <c r="L205" i="6"/>
  <c r="M105" i="6"/>
  <c r="Q127" i="6"/>
  <c r="R127" i="6" s="1"/>
  <c r="M155" i="6"/>
  <c r="M167" i="6"/>
  <c r="M177" i="6"/>
  <c r="W206" i="6"/>
  <c r="R206" i="6"/>
  <c r="K211" i="6"/>
  <c r="M211" i="6" s="1"/>
  <c r="M223" i="6"/>
  <c r="M239" i="6"/>
  <c r="Q248" i="6"/>
  <c r="K259" i="6"/>
  <c r="Q259" i="6"/>
  <c r="M290" i="6"/>
  <c r="W360" i="6"/>
  <c r="W369" i="6"/>
  <c r="W300" i="6"/>
  <c r="M340" i="6"/>
  <c r="R107" i="6"/>
  <c r="W149" i="6"/>
  <c r="R149" i="6"/>
  <c r="K154" i="6"/>
  <c r="M154" i="6" s="1"/>
  <c r="Q154" i="6"/>
  <c r="K166" i="6"/>
  <c r="M166" i="6" s="1"/>
  <c r="Q166" i="6"/>
  <c r="R172" i="6"/>
  <c r="W172" i="6"/>
  <c r="Q213" i="6"/>
  <c r="R213" i="6" s="1"/>
  <c r="R267" i="6"/>
  <c r="W267" i="6"/>
  <c r="W298" i="6"/>
  <c r="Q138" i="6"/>
  <c r="R138" i="6" s="1"/>
  <c r="K171" i="6"/>
  <c r="M171" i="6" s="1"/>
  <c r="K190" i="6"/>
  <c r="M190" i="6" s="1"/>
  <c r="Q190" i="6"/>
  <c r="R190" i="6" s="1"/>
  <c r="W213" i="6"/>
  <c r="R256" i="6"/>
  <c r="W256" i="6"/>
  <c r="Q279" i="6"/>
  <c r="K279" i="6"/>
  <c r="W306" i="6"/>
  <c r="Q320" i="6"/>
  <c r="R320" i="6" s="1"/>
  <c r="K320" i="6"/>
  <c r="M320" i="6" s="1"/>
  <c r="W125" i="6"/>
  <c r="R125" i="6"/>
  <c r="K130" i="6"/>
  <c r="M130" i="6" s="1"/>
  <c r="Q130" i="6"/>
  <c r="Q143" i="6"/>
  <c r="R143" i="6" s="1"/>
  <c r="W182" i="6"/>
  <c r="K196" i="6"/>
  <c r="Q196" i="6"/>
  <c r="R196" i="6" s="1"/>
  <c r="Q212" i="6"/>
  <c r="R212" i="6" s="1"/>
  <c r="K212" i="6"/>
  <c r="W220" i="6"/>
  <c r="R220" i="6"/>
  <c r="R236" i="6"/>
  <c r="W236" i="6"/>
  <c r="M247" i="6"/>
  <c r="Q297" i="6"/>
  <c r="K297" i="6"/>
  <c r="M297" i="6" s="1"/>
  <c r="R79" i="6"/>
  <c r="M143" i="6"/>
  <c r="R153" i="6"/>
  <c r="R165" i="6"/>
  <c r="M169" i="6"/>
  <c r="M170" i="6"/>
  <c r="Q171" i="6"/>
  <c r="R171" i="6" s="1"/>
  <c r="Q183" i="6"/>
  <c r="R183" i="6" s="1"/>
  <c r="K183" i="6"/>
  <c r="M183" i="6" s="1"/>
  <c r="K186" i="6"/>
  <c r="Q199" i="6"/>
  <c r="K199" i="6"/>
  <c r="R208" i="6"/>
  <c r="Q217" i="6"/>
  <c r="R217" i="6" s="1"/>
  <c r="K217" i="6"/>
  <c r="M217" i="6" s="1"/>
  <c r="M224" i="6"/>
  <c r="R249" i="6"/>
  <c r="W249" i="6"/>
  <c r="W283" i="6"/>
  <c r="R283" i="6"/>
  <c r="W375" i="6"/>
  <c r="W312" i="6"/>
  <c r="R312" i="6"/>
  <c r="R318" i="6"/>
  <c r="W318" i="6"/>
  <c r="M331" i="6"/>
  <c r="W228" i="6"/>
  <c r="R228" i="6"/>
  <c r="W233" i="6"/>
  <c r="R233" i="6"/>
  <c r="M314" i="6"/>
  <c r="M280" i="6"/>
  <c r="R91" i="6"/>
  <c r="M135" i="6"/>
  <c r="Q152" i="6"/>
  <c r="R152" i="6" s="1"/>
  <c r="Q155" i="6"/>
  <c r="R155" i="6" s="1"/>
  <c r="Q159" i="6"/>
  <c r="R159" i="6" s="1"/>
  <c r="Q162" i="6"/>
  <c r="R162" i="6" s="1"/>
  <c r="Q167" i="6"/>
  <c r="Q186" i="6"/>
  <c r="R186" i="6" s="1"/>
  <c r="M195" i="6"/>
  <c r="M201" i="6"/>
  <c r="R235" i="6"/>
  <c r="W235" i="6"/>
  <c r="K302" i="6"/>
  <c r="M302" i="6" s="1"/>
  <c r="Q302" i="6"/>
  <c r="R302" i="6" s="1"/>
  <c r="K338" i="6"/>
  <c r="M338" i="6" s="1"/>
  <c r="Q338" i="6"/>
  <c r="R338" i="6" s="1"/>
  <c r="M364" i="6"/>
  <c r="M388" i="6"/>
  <c r="R178" i="6"/>
  <c r="W178" i="6"/>
  <c r="M205" i="6"/>
  <c r="K228" i="6"/>
  <c r="M228" i="6" s="1"/>
  <c r="Q228" i="6"/>
  <c r="M233" i="6"/>
  <c r="Q238" i="6"/>
  <c r="R238" i="6" s="1"/>
  <c r="K238" i="6"/>
  <c r="M238" i="6" s="1"/>
  <c r="Q243" i="6"/>
  <c r="R243" i="6" s="1"/>
  <c r="K243" i="6"/>
  <c r="M243" i="6" s="1"/>
  <c r="W244" i="6"/>
  <c r="R244" i="6"/>
  <c r="W253" i="6"/>
  <c r="M266" i="6"/>
  <c r="W314" i="6"/>
  <c r="R314" i="6"/>
  <c r="R342" i="6"/>
  <c r="W342" i="6"/>
  <c r="R386" i="6"/>
  <c r="Q393" i="6"/>
  <c r="P393" i="6"/>
  <c r="K393" i="6"/>
  <c r="M400" i="6"/>
  <c r="M407" i="6"/>
  <c r="R224" i="6"/>
  <c r="M242" i="6"/>
  <c r="M255" i="6"/>
  <c r="W259" i="6"/>
  <c r="R259" i="6"/>
  <c r="R273" i="6"/>
  <c r="W273" i="6"/>
  <c r="M275" i="6"/>
  <c r="M278" i="6"/>
  <c r="M281" i="6"/>
  <c r="M284" i="6"/>
  <c r="W292" i="6"/>
  <c r="R297" i="6"/>
  <c r="W324" i="6"/>
  <c r="R324" i="6"/>
  <c r="K335" i="6"/>
  <c r="K403" i="6"/>
  <c r="M403" i="6" s="1"/>
  <c r="Q403" i="6"/>
  <c r="M131" i="8"/>
  <c r="R161" i="6"/>
  <c r="R177" i="6"/>
  <c r="R194" i="6"/>
  <c r="Q203" i="6"/>
  <c r="K203" i="6"/>
  <c r="K210" i="6"/>
  <c r="M210" i="6" s="1"/>
  <c r="Q210" i="6"/>
  <c r="R210" i="6" s="1"/>
  <c r="W225" i="6"/>
  <c r="K241" i="6"/>
  <c r="R248" i="6"/>
  <c r="M251" i="6"/>
  <c r="W252" i="6"/>
  <c r="R252" i="6"/>
  <c r="Q261" i="6"/>
  <c r="K261" i="6"/>
  <c r="M261" i="6" s="1"/>
  <c r="R284" i="6"/>
  <c r="K315" i="6"/>
  <c r="M315" i="6" s="1"/>
  <c r="Q315" i="6"/>
  <c r="R315" i="6" s="1"/>
  <c r="Q332" i="6"/>
  <c r="R332" i="6" s="1"/>
  <c r="K332" i="6"/>
  <c r="M332" i="6" s="1"/>
  <c r="K337" i="6"/>
  <c r="M337" i="6" s="1"/>
  <c r="Q337" i="6"/>
  <c r="R337" i="6" s="1"/>
  <c r="W367" i="6"/>
  <c r="Q191" i="6"/>
  <c r="R191" i="6" s="1"/>
  <c r="Q195" i="6"/>
  <c r="R195" i="6" s="1"/>
  <c r="K216" i="6"/>
  <c r="Q216" i="6"/>
  <c r="R216" i="6" s="1"/>
  <c r="R223" i="6"/>
  <c r="Q224" i="6"/>
  <c r="Q226" i="6"/>
  <c r="R226" i="6" s="1"/>
  <c r="K226" i="6"/>
  <c r="M226" i="6" s="1"/>
  <c r="Q231" i="6"/>
  <c r="R231" i="6" s="1"/>
  <c r="K231" i="6"/>
  <c r="M231" i="6" s="1"/>
  <c r="W232" i="6"/>
  <c r="R232" i="6"/>
  <c r="K237" i="6"/>
  <c r="Q254" i="6"/>
  <c r="K254" i="6"/>
  <c r="M254" i="6" s="1"/>
  <c r="K264" i="6"/>
  <c r="M264" i="6" s="1"/>
  <c r="Q291" i="6"/>
  <c r="R291" i="6" s="1"/>
  <c r="K291" i="6"/>
  <c r="M291" i="6" s="1"/>
  <c r="W294" i="6"/>
  <c r="R294" i="6"/>
  <c r="M319" i="6"/>
  <c r="Q335" i="6"/>
  <c r="Q365" i="6"/>
  <c r="R365" i="6" s="1"/>
  <c r="K365" i="6"/>
  <c r="M365" i="6" s="1"/>
  <c r="M221" i="6"/>
  <c r="Q250" i="6"/>
  <c r="R250" i="6" s="1"/>
  <c r="K250" i="6"/>
  <c r="M250" i="6" s="1"/>
  <c r="Q280" i="6"/>
  <c r="R280" i="6" s="1"/>
  <c r="W307" i="6"/>
  <c r="R307" i="6"/>
  <c r="R330" i="6"/>
  <c r="W330" i="6"/>
  <c r="M376" i="6"/>
  <c r="Q385" i="6"/>
  <c r="R385" i="6" s="1"/>
  <c r="K385" i="6"/>
  <c r="M209" i="6"/>
  <c r="K240" i="6"/>
  <c r="M240" i="6" s="1"/>
  <c r="Q240" i="6"/>
  <c r="R240" i="6" s="1"/>
  <c r="Q241" i="6"/>
  <c r="R241" i="6" s="1"/>
  <c r="M245" i="6"/>
  <c r="W258" i="6"/>
  <c r="R258" i="6"/>
  <c r="W262" i="6"/>
  <c r="Q274" i="6"/>
  <c r="R274" i="6" s="1"/>
  <c r="K274" i="6"/>
  <c r="Q278" i="6"/>
  <c r="R278" i="6" s="1"/>
  <c r="W286" i="6"/>
  <c r="M296" i="6"/>
  <c r="Q317" i="6"/>
  <c r="K317" i="6"/>
  <c r="M317" i="6" s="1"/>
  <c r="W371" i="6"/>
  <c r="K202" i="6"/>
  <c r="M202" i="6" s="1"/>
  <c r="M208" i="6"/>
  <c r="W209" i="6"/>
  <c r="R209" i="6"/>
  <c r="W224" i="6"/>
  <c r="M230" i="6"/>
  <c r="W14" i="7"/>
  <c r="T235" i="6"/>
  <c r="K236" i="6"/>
  <c r="M236" i="6" s="1"/>
  <c r="R254" i="6"/>
  <c r="Q260" i="6"/>
  <c r="R260" i="6" s="1"/>
  <c r="K260" i="6"/>
  <c r="M260" i="6" s="1"/>
  <c r="M263" i="6"/>
  <c r="Q264" i="6"/>
  <c r="R264" i="6" s="1"/>
  <c r="M267" i="6"/>
  <c r="W271" i="6"/>
  <c r="R271" i="6"/>
  <c r="R317" i="6"/>
  <c r="M323" i="6"/>
  <c r="M347" i="6"/>
  <c r="R130" i="6"/>
  <c r="R142" i="6"/>
  <c r="R154" i="6"/>
  <c r="R166" i="6"/>
  <c r="K175" i="6"/>
  <c r="K179" i="6"/>
  <c r="M179" i="6" s="1"/>
  <c r="Q201" i="6"/>
  <c r="R201" i="6" s="1"/>
  <c r="K214" i="6"/>
  <c r="R222" i="6"/>
  <c r="K229" i="6"/>
  <c r="M229" i="6" s="1"/>
  <c r="W248" i="6"/>
  <c r="W255" i="6"/>
  <c r="W284" i="6"/>
  <c r="W288" i="6"/>
  <c r="M312" i="6"/>
  <c r="W323" i="6"/>
  <c r="R323" i="6"/>
  <c r="W325" i="6"/>
  <c r="R325" i="6"/>
  <c r="M358" i="6"/>
  <c r="Q262" i="6"/>
  <c r="R262" i="6" s="1"/>
  <c r="T312" i="6"/>
  <c r="K327" i="6"/>
  <c r="M327" i="6" s="1"/>
  <c r="Q327" i="6"/>
  <c r="R327" i="6" s="1"/>
  <c r="M352" i="6"/>
  <c r="Q360" i="6"/>
  <c r="R360" i="6" s="1"/>
  <c r="K360" i="6"/>
  <c r="M360" i="6" s="1"/>
  <c r="Q367" i="6"/>
  <c r="R367" i="6" s="1"/>
  <c r="K367" i="6"/>
  <c r="M367" i="6" s="1"/>
  <c r="Q378" i="6"/>
  <c r="K378" i="6"/>
  <c r="M378" i="6" s="1"/>
  <c r="Q386" i="6"/>
  <c r="K386" i="6"/>
  <c r="M386" i="6" s="1"/>
  <c r="Q416" i="6"/>
  <c r="K416" i="6"/>
  <c r="W434" i="6"/>
  <c r="R434" i="6"/>
  <c r="Q511" i="6"/>
  <c r="K511" i="6"/>
  <c r="M511" i="6" s="1"/>
  <c r="W190" i="6"/>
  <c r="W196" i="6"/>
  <c r="W215" i="6"/>
  <c r="Q221" i="6"/>
  <c r="R221" i="6" s="1"/>
  <c r="W227" i="6"/>
  <c r="Q233" i="6"/>
  <c r="W239" i="6"/>
  <c r="Q245" i="6"/>
  <c r="R245" i="6" s="1"/>
  <c r="M252" i="6"/>
  <c r="M282" i="6"/>
  <c r="R285" i="6"/>
  <c r="K306" i="6"/>
  <c r="M306" i="6" s="1"/>
  <c r="Q306" i="6"/>
  <c r="R306" i="6" s="1"/>
  <c r="Q336" i="6"/>
  <c r="K336" i="6"/>
  <c r="M336" i="6" s="1"/>
  <c r="M339" i="6"/>
  <c r="W402" i="6"/>
  <c r="R402" i="6"/>
  <c r="W426" i="6"/>
  <c r="R426" i="6"/>
  <c r="W465" i="6"/>
  <c r="R465" i="6"/>
  <c r="R261" i="6"/>
  <c r="M276" i="6"/>
  <c r="K288" i="6"/>
  <c r="M288" i="6" s="1"/>
  <c r="Q288" i="6"/>
  <c r="R288" i="6" s="1"/>
  <c r="W289" i="6"/>
  <c r="R289" i="6"/>
  <c r="Q290" i="6"/>
  <c r="R290" i="6" s="1"/>
  <c r="K294" i="6"/>
  <c r="M294" i="6" s="1"/>
  <c r="Q294" i="6"/>
  <c r="W295" i="6"/>
  <c r="R295" i="6"/>
  <c r="Q296" i="6"/>
  <c r="R296" i="6" s="1"/>
  <c r="K300" i="6"/>
  <c r="M300" i="6" s="1"/>
  <c r="Q300" i="6"/>
  <c r="R300" i="6" s="1"/>
  <c r="W301" i="6"/>
  <c r="R301" i="6"/>
  <c r="M305" i="6"/>
  <c r="Q309" i="6"/>
  <c r="K309" i="6"/>
  <c r="M309" i="6" s="1"/>
  <c r="Q329" i="6"/>
  <c r="K329" i="6"/>
  <c r="M329" i="6" s="1"/>
  <c r="M346" i="6"/>
  <c r="K351" i="6"/>
  <c r="M351" i="6" s="1"/>
  <c r="Q351" i="6"/>
  <c r="R351" i="6" s="1"/>
  <c r="R354" i="6"/>
  <c r="W354" i="6"/>
  <c r="K368" i="6"/>
  <c r="M368" i="6" s="1"/>
  <c r="Q368" i="6"/>
  <c r="R368" i="6" s="1"/>
  <c r="Q373" i="6"/>
  <c r="K373" i="6"/>
  <c r="M373" i="6" s="1"/>
  <c r="M287" i="6"/>
  <c r="M293" i="6"/>
  <c r="R309" i="6"/>
  <c r="M322" i="6"/>
  <c r="W326" i="6"/>
  <c r="R326" i="6"/>
  <c r="R329" i="6"/>
  <c r="R335" i="6"/>
  <c r="W343" i="6"/>
  <c r="R343" i="6"/>
  <c r="K356" i="6"/>
  <c r="M356" i="6" s="1"/>
  <c r="M359" i="6"/>
  <c r="Q366" i="6"/>
  <c r="K366" i="6"/>
  <c r="M366" i="6" s="1"/>
  <c r="R373" i="6"/>
  <c r="W464" i="6"/>
  <c r="R464" i="6"/>
  <c r="Q268" i="6"/>
  <c r="P268" i="6"/>
  <c r="M270" i="6"/>
  <c r="R279" i="6"/>
  <c r="Q286" i="6"/>
  <c r="R286" i="6" s="1"/>
  <c r="Q292" i="6"/>
  <c r="R292" i="6" s="1"/>
  <c r="Q298" i="6"/>
  <c r="R298" i="6" s="1"/>
  <c r="M316" i="6"/>
  <c r="W361" i="6"/>
  <c r="R361" i="6"/>
  <c r="M392" i="6"/>
  <c r="Q401" i="6"/>
  <c r="R401" i="6" s="1"/>
  <c r="K401" i="6"/>
  <c r="M401" i="6" s="1"/>
  <c r="R204" i="6"/>
  <c r="K268" i="6"/>
  <c r="K286" i="6"/>
  <c r="M286" i="6" s="1"/>
  <c r="K292" i="6"/>
  <c r="M292" i="6" s="1"/>
  <c r="K298" i="6"/>
  <c r="M298" i="6" s="1"/>
  <c r="Q303" i="6"/>
  <c r="R303" i="6" s="1"/>
  <c r="K303" i="6"/>
  <c r="M303" i="6" s="1"/>
  <c r="K328" i="6"/>
  <c r="M328" i="6" s="1"/>
  <c r="Q348" i="6"/>
  <c r="K348" i="6"/>
  <c r="M348" i="6" s="1"/>
  <c r="K353" i="6"/>
  <c r="M353" i="6" s="1"/>
  <c r="W377" i="6"/>
  <c r="W383" i="6"/>
  <c r="R383" i="6"/>
  <c r="K390" i="6"/>
  <c r="M390" i="6" s="1"/>
  <c r="Q390" i="6"/>
  <c r="Q418" i="6"/>
  <c r="R418" i="6" s="1"/>
  <c r="K418" i="6"/>
  <c r="Q436" i="6"/>
  <c r="R436" i="6" s="1"/>
  <c r="K436" i="6"/>
  <c r="M436" i="6" s="1"/>
  <c r="W285" i="6"/>
  <c r="Q312" i="6"/>
  <c r="Q323" i="6"/>
  <c r="M350" i="6"/>
  <c r="W358" i="6"/>
  <c r="W373" i="6"/>
  <c r="K375" i="6"/>
  <c r="M375" i="6" s="1"/>
  <c r="Q375" i="6"/>
  <c r="R375" i="6" s="1"/>
  <c r="K379" i="6"/>
  <c r="M379" i="6" s="1"/>
  <c r="M383" i="6"/>
  <c r="Q395" i="6"/>
  <c r="R395" i="6" s="1"/>
  <c r="K395" i="6"/>
  <c r="M395" i="6" s="1"/>
  <c r="M414" i="6"/>
  <c r="M419" i="6"/>
  <c r="W427" i="6"/>
  <c r="R427" i="6"/>
  <c r="Q499" i="6"/>
  <c r="R499" i="6" s="1"/>
  <c r="K499" i="6"/>
  <c r="M499" i="6" s="1"/>
  <c r="K318" i="6"/>
  <c r="M318" i="6" s="1"/>
  <c r="W319" i="6"/>
  <c r="W331" i="6"/>
  <c r="T339" i="6"/>
  <c r="M374" i="6"/>
  <c r="M397" i="6"/>
  <c r="Q399" i="6"/>
  <c r="K399" i="6"/>
  <c r="M399" i="6" s="1"/>
  <c r="M422" i="6"/>
  <c r="Q450" i="6"/>
  <c r="R450" i="6" s="1"/>
  <c r="K450" i="6"/>
  <c r="M450" i="6" s="1"/>
  <c r="W480" i="6"/>
  <c r="M483" i="6"/>
  <c r="M485" i="6"/>
  <c r="M509" i="6"/>
  <c r="K357" i="6"/>
  <c r="M357" i="6" s="1"/>
  <c r="Q357" i="6"/>
  <c r="R399" i="6"/>
  <c r="R404" i="6"/>
  <c r="W404" i="6"/>
  <c r="M410" i="6"/>
  <c r="M426" i="6"/>
  <c r="M474" i="6"/>
  <c r="M507" i="6"/>
  <c r="R366" i="6"/>
  <c r="W366" i="6"/>
  <c r="Q372" i="6"/>
  <c r="K372" i="6"/>
  <c r="M372" i="6" s="1"/>
  <c r="M421" i="6"/>
  <c r="M424" i="6"/>
  <c r="R429" i="6"/>
  <c r="M444" i="6"/>
  <c r="W470" i="6"/>
  <c r="R470" i="6"/>
  <c r="R497" i="6"/>
  <c r="W497" i="6"/>
  <c r="K345" i="6"/>
  <c r="Q345" i="6"/>
  <c r="R345" i="6" s="1"/>
  <c r="K355" i="6"/>
  <c r="M355" i="6" s="1"/>
  <c r="K363" i="6"/>
  <c r="Q363" i="6"/>
  <c r="R363" i="6" s="1"/>
  <c r="Q374" i="6"/>
  <c r="R374" i="6" s="1"/>
  <c r="R378" i="6"/>
  <c r="Q387" i="6"/>
  <c r="R387" i="6" s="1"/>
  <c r="K387" i="6"/>
  <c r="M387" i="6" s="1"/>
  <c r="Q394" i="6"/>
  <c r="K394" i="6"/>
  <c r="R407" i="6"/>
  <c r="R444" i="6"/>
  <c r="M468" i="6"/>
  <c r="M344" i="6"/>
  <c r="R348" i="6"/>
  <c r="W348" i="6"/>
  <c r="Q354" i="6"/>
  <c r="K354" i="6"/>
  <c r="M362" i="6"/>
  <c r="W376" i="6"/>
  <c r="K384" i="6"/>
  <c r="M384" i="6" s="1"/>
  <c r="Q384" i="6"/>
  <c r="R394" i="6"/>
  <c r="K396" i="6"/>
  <c r="M396" i="6" s="1"/>
  <c r="Q396" i="6"/>
  <c r="Q398" i="6"/>
  <c r="K398" i="6"/>
  <c r="M398" i="6" s="1"/>
  <c r="Q400" i="6"/>
  <c r="R400" i="6" s="1"/>
  <c r="W403" i="6"/>
  <c r="R403" i="6"/>
  <c r="M409" i="6"/>
  <c r="R413" i="6"/>
  <c r="W438" i="6"/>
  <c r="K484" i="6"/>
  <c r="M484" i="6" s="1"/>
  <c r="Q484" i="6"/>
  <c r="M513" i="6"/>
  <c r="R515" i="6"/>
  <c r="W515" i="6"/>
  <c r="Q333" i="6"/>
  <c r="R333" i="6" s="1"/>
  <c r="R336" i="6"/>
  <c r="R357" i="6"/>
  <c r="M371" i="6"/>
  <c r="R372" i="6"/>
  <c r="W372" i="6"/>
  <c r="Q377" i="6"/>
  <c r="R377" i="6" s="1"/>
  <c r="M380" i="6"/>
  <c r="W381" i="6"/>
  <c r="R381" i="6"/>
  <c r="R382" i="6"/>
  <c r="Q389" i="6"/>
  <c r="K389" i="6"/>
  <c r="M389" i="6" s="1"/>
  <c r="M391" i="6"/>
  <c r="Q417" i="6"/>
  <c r="M435" i="6"/>
  <c r="W451" i="6"/>
  <c r="W458" i="6"/>
  <c r="R458" i="6"/>
  <c r="K369" i="6"/>
  <c r="M369" i="6" s="1"/>
  <c r="Q369" i="6"/>
  <c r="R369" i="6" s="1"/>
  <c r="K377" i="6"/>
  <c r="M377" i="6" s="1"/>
  <c r="R389" i="6"/>
  <c r="M402" i="6"/>
  <c r="K417" i="6"/>
  <c r="M417" i="6" s="1"/>
  <c r="R428" i="6"/>
  <c r="W428" i="6"/>
  <c r="K437" i="6"/>
  <c r="M437" i="6" s="1"/>
  <c r="W475" i="6"/>
  <c r="W384" i="6"/>
  <c r="R384" i="6"/>
  <c r="M423" i="6"/>
  <c r="Q425" i="6"/>
  <c r="R425" i="6" s="1"/>
  <c r="K425" i="6"/>
  <c r="M425" i="6" s="1"/>
  <c r="M430" i="6"/>
  <c r="W435" i="6"/>
  <c r="R435" i="6"/>
  <c r="R437" i="6"/>
  <c r="W437" i="6"/>
  <c r="K496" i="6"/>
  <c r="M496" i="6" s="1"/>
  <c r="Q496" i="6"/>
  <c r="K488" i="6"/>
  <c r="M488" i="6" s="1"/>
  <c r="Q488" i="6"/>
  <c r="M503" i="6"/>
  <c r="R511" i="6"/>
  <c r="K518" i="6"/>
  <c r="M518" i="6" s="1"/>
  <c r="Q518" i="6"/>
  <c r="R518" i="6" s="1"/>
  <c r="M520" i="6"/>
  <c r="W522" i="6"/>
  <c r="R522" i="6"/>
  <c r="Q462" i="6"/>
  <c r="R462" i="6" s="1"/>
  <c r="Q479" i="6"/>
  <c r="W488" i="6"/>
  <c r="R488" i="6"/>
  <c r="X10" i="7"/>
  <c r="Y10" i="7" s="1"/>
  <c r="V10" i="7"/>
  <c r="AD10" i="7"/>
  <c r="V13" i="7"/>
  <c r="X13" i="7"/>
  <c r="Y13" i="7" s="1"/>
  <c r="Q6" i="4" s="1"/>
  <c r="Q11" i="4" s="1"/>
  <c r="AD15" i="7"/>
  <c r="W378" i="6"/>
  <c r="W388" i="6"/>
  <c r="W389" i="6"/>
  <c r="W394" i="6"/>
  <c r="W413" i="6"/>
  <c r="Q424" i="6"/>
  <c r="R424" i="6" s="1"/>
  <c r="M440" i="6"/>
  <c r="Q443" i="6"/>
  <c r="R443" i="6" s="1"/>
  <c r="K443" i="6"/>
  <c r="M443" i="6" s="1"/>
  <c r="R446" i="6"/>
  <c r="Q455" i="6"/>
  <c r="R455" i="6" s="1"/>
  <c r="K455" i="6"/>
  <c r="M455" i="6" s="1"/>
  <c r="K462" i="6"/>
  <c r="M462" i="6" s="1"/>
  <c r="Q474" i="6"/>
  <c r="R474" i="6" s="1"/>
  <c r="K479" i="6"/>
  <c r="M479" i="6" s="1"/>
  <c r="W486" i="6"/>
  <c r="Q492" i="6"/>
  <c r="R492" i="6" s="1"/>
  <c r="K492" i="6"/>
  <c r="M492" i="6" s="1"/>
  <c r="K500" i="6"/>
  <c r="M500" i="6" s="1"/>
  <c r="R417" i="6"/>
  <c r="Q423" i="6"/>
  <c r="W457" i="6"/>
  <c r="R457" i="6"/>
  <c r="M489" i="6"/>
  <c r="Q500" i="6"/>
  <c r="R500" i="6" s="1"/>
  <c r="K514" i="6"/>
  <c r="M514" i="6" s="1"/>
  <c r="Q514" i="6"/>
  <c r="R398" i="6"/>
  <c r="Q411" i="6"/>
  <c r="R411" i="6" s="1"/>
  <c r="M413" i="6"/>
  <c r="R416" i="6"/>
  <c r="W429" i="6"/>
  <c r="M439" i="6"/>
  <c r="W469" i="6"/>
  <c r="R469" i="6"/>
  <c r="W496" i="6"/>
  <c r="R496" i="6"/>
  <c r="W514" i="6"/>
  <c r="R514" i="6"/>
  <c r="K411" i="6"/>
  <c r="M411" i="6" s="1"/>
  <c r="Q430" i="6"/>
  <c r="R430" i="6" s="1"/>
  <c r="K431" i="6"/>
  <c r="M431" i="6" s="1"/>
  <c r="R440" i="6"/>
  <c r="W445" i="6"/>
  <c r="R445" i="6"/>
  <c r="R476" i="6"/>
  <c r="Q504" i="6"/>
  <c r="K504" i="6"/>
  <c r="M504" i="6" s="1"/>
  <c r="K506" i="6"/>
  <c r="M506" i="6" s="1"/>
  <c r="Q506" i="6"/>
  <c r="W508" i="6"/>
  <c r="R508" i="6"/>
  <c r="Q510" i="6"/>
  <c r="K510" i="6"/>
  <c r="M510" i="6" s="1"/>
  <c r="M408" i="6"/>
  <c r="R452" i="6"/>
  <c r="Q461" i="6"/>
  <c r="R461" i="6" s="1"/>
  <c r="K461" i="6"/>
  <c r="M461" i="6" s="1"/>
  <c r="R485" i="6"/>
  <c r="W485" i="6"/>
  <c r="M491" i="6"/>
  <c r="Q493" i="6"/>
  <c r="R493" i="6" s="1"/>
  <c r="K493" i="6"/>
  <c r="M493" i="6" s="1"/>
  <c r="R510" i="6"/>
  <c r="W521" i="6"/>
  <c r="R521" i="6"/>
  <c r="K381" i="6"/>
  <c r="M381" i="6" s="1"/>
  <c r="Q391" i="6"/>
  <c r="Q397" i="6"/>
  <c r="R397" i="6" s="1"/>
  <c r="M420" i="6"/>
  <c r="R423" i="6"/>
  <c r="Q429" i="6"/>
  <c r="R433" i="6"/>
  <c r="K438" i="6"/>
  <c r="M438" i="6" s="1"/>
  <c r="Q456" i="6"/>
  <c r="R456" i="6" s="1"/>
  <c r="Q473" i="6"/>
  <c r="R473" i="6" s="1"/>
  <c r="K473" i="6"/>
  <c r="M473" i="6" s="1"/>
  <c r="M480" i="6"/>
  <c r="M495" i="6"/>
  <c r="Q517" i="6"/>
  <c r="K517" i="6"/>
  <c r="M517" i="6" s="1"/>
  <c r="R390" i="6"/>
  <c r="R391" i="6"/>
  <c r="R396" i="6"/>
  <c r="Q405" i="6"/>
  <c r="R405" i="6" s="1"/>
  <c r="K406" i="6"/>
  <c r="M406" i="6" s="1"/>
  <c r="R410" i="6"/>
  <c r="R414" i="6"/>
  <c r="R415" i="6"/>
  <c r="W417" i="6"/>
  <c r="R422" i="6"/>
  <c r="K429" i="6"/>
  <c r="M429" i="6" s="1"/>
  <c r="R432" i="6"/>
  <c r="Q444" i="6"/>
  <c r="Q449" i="6"/>
  <c r="R449" i="6" s="1"/>
  <c r="K449" i="6"/>
  <c r="M449" i="6" s="1"/>
  <c r="K456" i="6"/>
  <c r="M456" i="6" s="1"/>
  <c r="W463" i="6"/>
  <c r="R463" i="6"/>
  <c r="Q468" i="6"/>
  <c r="R468" i="6" s="1"/>
  <c r="M497" i="6"/>
  <c r="R504" i="6"/>
  <c r="M515" i="6"/>
  <c r="Q445" i="6"/>
  <c r="K445" i="6"/>
  <c r="Q451" i="6"/>
  <c r="R451" i="6" s="1"/>
  <c r="K451" i="6"/>
  <c r="M451" i="6" s="1"/>
  <c r="Q457" i="6"/>
  <c r="K457" i="6"/>
  <c r="M457" i="6" s="1"/>
  <c r="Q463" i="6"/>
  <c r="K463" i="6"/>
  <c r="M463" i="6" s="1"/>
  <c r="Q469" i="6"/>
  <c r="K469" i="6"/>
  <c r="Q475" i="6"/>
  <c r="R475" i="6" s="1"/>
  <c r="K475" i="6"/>
  <c r="M475" i="6" s="1"/>
  <c r="Q480" i="6"/>
  <c r="R480" i="6" s="1"/>
  <c r="W524" i="6"/>
  <c r="R524" i="6"/>
  <c r="K523" i="6"/>
  <c r="M523" i="6" s="1"/>
  <c r="Q523" i="6"/>
  <c r="K442" i="6"/>
  <c r="M442" i="6" s="1"/>
  <c r="Q442" i="6"/>
  <c r="R442" i="6" s="1"/>
  <c r="K448" i="6"/>
  <c r="M448" i="6" s="1"/>
  <c r="Q448" i="6"/>
  <c r="R448" i="6" s="1"/>
  <c r="K454" i="6"/>
  <c r="M454" i="6" s="1"/>
  <c r="Q454" i="6"/>
  <c r="R454" i="6" s="1"/>
  <c r="K460" i="6"/>
  <c r="M460" i="6" s="1"/>
  <c r="Q460" i="6"/>
  <c r="R460" i="6" s="1"/>
  <c r="K472" i="6"/>
  <c r="M472" i="6" s="1"/>
  <c r="Q472" i="6"/>
  <c r="R472" i="6" s="1"/>
  <c r="K478" i="6"/>
  <c r="M478" i="6" s="1"/>
  <c r="Q478" i="6"/>
  <c r="R478" i="6" s="1"/>
  <c r="Q487" i="6"/>
  <c r="R487" i="6" s="1"/>
  <c r="K487" i="6"/>
  <c r="M487" i="6" s="1"/>
  <c r="K502" i="6"/>
  <c r="M502" i="6" s="1"/>
  <c r="Q502" i="6"/>
  <c r="R502" i="6" s="1"/>
  <c r="R503" i="6"/>
  <c r="R517" i="6"/>
  <c r="M433" i="6"/>
  <c r="K466" i="6"/>
  <c r="M466" i="6" s="1"/>
  <c r="Q466" i="6"/>
  <c r="R466" i="6" s="1"/>
  <c r="R479" i="6"/>
  <c r="M482" i="6"/>
  <c r="R506" i="6"/>
  <c r="M519" i="6"/>
  <c r="R523" i="6"/>
  <c r="M441" i="6"/>
  <c r="M447" i="6"/>
  <c r="M453" i="6"/>
  <c r="M459" i="6"/>
  <c r="M467" i="6"/>
  <c r="M471" i="6"/>
  <c r="M477" i="6"/>
  <c r="R484" i="6"/>
  <c r="K494" i="6"/>
  <c r="M494" i="6" s="1"/>
  <c r="Q498" i="6"/>
  <c r="R498" i="6" s="1"/>
  <c r="M501" i="6"/>
  <c r="Q505" i="6"/>
  <c r="R505" i="6" s="1"/>
  <c r="K505" i="6"/>
  <c r="M505" i="6" s="1"/>
  <c r="K512" i="6"/>
  <c r="M512" i="6" s="1"/>
  <c r="Q516" i="6"/>
  <c r="R516" i="6" s="1"/>
  <c r="M465" i="6"/>
  <c r="Q486" i="6"/>
  <c r="R486" i="6" s="1"/>
  <c r="K498" i="6"/>
  <c r="M498" i="6" s="1"/>
  <c r="K516" i="6"/>
  <c r="M516" i="6" s="1"/>
  <c r="K522" i="6"/>
  <c r="M522" i="6" s="1"/>
  <c r="M446" i="6"/>
  <c r="M452" i="6"/>
  <c r="M458" i="6"/>
  <c r="W17" i="7"/>
  <c r="X17" i="7" s="1"/>
  <c r="M464" i="6"/>
  <c r="M470" i="6"/>
  <c r="M476" i="6"/>
  <c r="Q481" i="6"/>
  <c r="R481" i="6" s="1"/>
  <c r="K481" i="6"/>
  <c r="M481" i="6" s="1"/>
  <c r="Q482" i="6"/>
  <c r="R482" i="6" s="1"/>
  <c r="M486" i="6"/>
  <c r="K490" i="6"/>
  <c r="M490" i="6" s="1"/>
  <c r="Q490" i="6"/>
  <c r="R490" i="6" s="1"/>
  <c r="K508" i="6"/>
  <c r="M508" i="6" s="1"/>
  <c r="Q508" i="6"/>
  <c r="R509" i="6"/>
  <c r="Q512" i="6"/>
  <c r="R512" i="6" s="1"/>
  <c r="W511" i="6"/>
  <c r="W517" i="6"/>
  <c r="Q520" i="6"/>
  <c r="R520" i="6" s="1"/>
  <c r="W12" i="7"/>
  <c r="X12" i="7" s="1"/>
  <c r="R526" i="6"/>
  <c r="V7" i="7"/>
  <c r="AD14" i="7"/>
  <c r="M525" i="6"/>
  <c r="W6" i="7"/>
  <c r="X6" i="7" s="1"/>
  <c r="V16" i="7"/>
  <c r="AD16" i="7"/>
  <c r="M524" i="6"/>
  <c r="W526" i="6"/>
  <c r="O17" i="7"/>
  <c r="W8" i="7"/>
  <c r="X8" i="7"/>
  <c r="V9" i="7"/>
  <c r="AF10" i="7"/>
  <c r="AD11" i="7"/>
  <c r="P12" i="7"/>
  <c r="R12" i="7" s="1"/>
  <c r="AE12" i="7" s="1"/>
  <c r="X14" i="7"/>
  <c r="V15" i="7"/>
  <c r="AD17" i="7"/>
  <c r="W9" i="7"/>
  <c r="X9" i="7" s="1"/>
  <c r="Q12" i="7"/>
  <c r="W15" i="7"/>
  <c r="R525" i="6"/>
  <c r="X15" i="7"/>
  <c r="AF17" i="7"/>
  <c r="AC7" i="7"/>
  <c r="AD7" i="7" s="1"/>
  <c r="O8" i="7"/>
  <c r="O14" i="7"/>
  <c r="AF6" i="7"/>
  <c r="P8" i="7"/>
  <c r="R8" i="7" s="1"/>
  <c r="AE8" i="7" s="1"/>
  <c r="V11" i="7"/>
  <c r="AF12" i="7"/>
  <c r="Q8" i="7"/>
  <c r="O9" i="7"/>
  <c r="Q14" i="7"/>
  <c r="O15" i="7"/>
  <c r="V6" i="7"/>
  <c r="P9" i="7"/>
  <c r="R9" i="7" s="1"/>
  <c r="AE9" i="7" s="1"/>
  <c r="V12" i="7"/>
  <c r="P15" i="7"/>
  <c r="R15" i="7" s="1"/>
  <c r="AE15" i="7" s="1"/>
  <c r="L262" i="8"/>
  <c r="L437" i="8"/>
  <c r="L497" i="8"/>
  <c r="L519" i="8"/>
  <c r="L457" i="8"/>
  <c r="L419" i="8"/>
  <c r="L453" i="8"/>
  <c r="Y6" i="7" l="1"/>
  <c r="L6" i="5"/>
  <c r="Y17" i="7"/>
  <c r="Y12" i="7"/>
  <c r="W16" i="7"/>
  <c r="X16" i="7" s="1"/>
  <c r="T354" i="6"/>
  <c r="M354" i="6"/>
  <c r="M394" i="6"/>
  <c r="K11" i="5"/>
  <c r="L13" i="5"/>
  <c r="D6" i="5"/>
  <c r="C6" i="5"/>
  <c r="F67" i="1" s="1"/>
  <c r="E6" i="5"/>
  <c r="G67" i="1" s="1"/>
  <c r="M164" i="6"/>
  <c r="S176" i="6"/>
  <c r="M176" i="6"/>
  <c r="M103" i="6"/>
  <c r="M86" i="6"/>
  <c r="M437" i="8"/>
  <c r="P430" i="6" s="1"/>
  <c r="O430" i="6"/>
  <c r="T430" i="6" s="1"/>
  <c r="Y9" i="7"/>
  <c r="Y14" i="7"/>
  <c r="M345" i="6"/>
  <c r="K13" i="5"/>
  <c r="M13" i="5" s="1"/>
  <c r="L15" i="5"/>
  <c r="M269" i="6"/>
  <c r="M289" i="6"/>
  <c r="S326" i="6"/>
  <c r="E10" i="5"/>
  <c r="G71" i="1" s="1"/>
  <c r="D10" i="5"/>
  <c r="C10" i="5"/>
  <c r="F71" i="1" s="1"/>
  <c r="E13" i="5"/>
  <c r="G74" i="1" s="1"/>
  <c r="D13" i="5"/>
  <c r="C13" i="5"/>
  <c r="F74" i="1" s="1"/>
  <c r="S168" i="6"/>
  <c r="M168" i="6"/>
  <c r="M53" i="6"/>
  <c r="M81" i="6"/>
  <c r="K5" i="5"/>
  <c r="M216" i="6"/>
  <c r="K6" i="5"/>
  <c r="M6" i="5" s="1"/>
  <c r="S13" i="6"/>
  <c r="M13" i="6"/>
  <c r="M129" i="6"/>
  <c r="M419" i="8"/>
  <c r="P412" i="6" s="1"/>
  <c r="O412" i="6"/>
  <c r="T412" i="6" s="1"/>
  <c r="Y8" i="7"/>
  <c r="Y15" i="7"/>
  <c r="N13" i="5"/>
  <c r="M83" i="6"/>
  <c r="M156" i="6"/>
  <c r="M111" i="6"/>
  <c r="M16" i="6"/>
  <c r="S99" i="6"/>
  <c r="S206" i="6"/>
  <c r="M258" i="6"/>
  <c r="M191" i="6"/>
  <c r="S242" i="6"/>
  <c r="S299" i="6"/>
  <c r="M299" i="6"/>
  <c r="M220" i="6"/>
  <c r="M349" i="6"/>
  <c r="M415" i="6"/>
  <c r="S415" i="6"/>
  <c r="S503" i="6"/>
  <c r="M521" i="6"/>
  <c r="S449" i="6"/>
  <c r="M76" i="8"/>
  <c r="P73" i="6" s="1"/>
  <c r="O73" i="6"/>
  <c r="T73" i="6" s="1"/>
  <c r="M50" i="8"/>
  <c r="P48" i="6" s="1"/>
  <c r="O48" i="6"/>
  <c r="M226" i="8"/>
  <c r="P221" i="6" s="1"/>
  <c r="O221" i="6"/>
  <c r="T221" i="6" s="1"/>
  <c r="M20" i="8"/>
  <c r="P20" i="6" s="1"/>
  <c r="O20" i="6"/>
  <c r="M44" i="8"/>
  <c r="P43" i="6" s="1"/>
  <c r="O43" i="6"/>
  <c r="M98" i="8"/>
  <c r="P95" i="6" s="1"/>
  <c r="O95" i="6"/>
  <c r="T95" i="6" s="1"/>
  <c r="M91" i="8"/>
  <c r="P88" i="6" s="1"/>
  <c r="O88" i="6"/>
  <c r="T88" i="6" s="1"/>
  <c r="M77" i="8"/>
  <c r="P74" i="6" s="1"/>
  <c r="O74" i="6"/>
  <c r="M64" i="8"/>
  <c r="P61" i="6" s="1"/>
  <c r="O61" i="6"/>
  <c r="T61" i="6" s="1"/>
  <c r="M203" i="8"/>
  <c r="P197" i="6" s="1"/>
  <c r="O197" i="6"/>
  <c r="M159" i="8"/>
  <c r="P155" i="6" s="1"/>
  <c r="O155" i="6"/>
  <c r="M13" i="8"/>
  <c r="P13" i="6" s="1"/>
  <c r="O13" i="6"/>
  <c r="T13" i="6" s="1"/>
  <c r="M37" i="8"/>
  <c r="P37" i="6" s="1"/>
  <c r="O37" i="6"/>
  <c r="M224" i="8"/>
  <c r="P219" i="6" s="1"/>
  <c r="O219" i="6"/>
  <c r="M162" i="8"/>
  <c r="P158" i="6" s="1"/>
  <c r="O158" i="6"/>
  <c r="T158" i="6" s="1"/>
  <c r="M109" i="8"/>
  <c r="P105" i="6" s="1"/>
  <c r="O105" i="6"/>
  <c r="M102" i="8"/>
  <c r="P99" i="6" s="1"/>
  <c r="O99" i="6"/>
  <c r="M172" i="8"/>
  <c r="P168" i="6" s="1"/>
  <c r="O168" i="6"/>
  <c r="T168" i="6" s="1"/>
  <c r="M232" i="8"/>
  <c r="P226" i="6" s="1"/>
  <c r="O226" i="6"/>
  <c r="T226" i="6" s="1"/>
  <c r="M230" i="8"/>
  <c r="P224" i="6" s="1"/>
  <c r="O224" i="6"/>
  <c r="M221" i="8"/>
  <c r="P216" i="6" s="1"/>
  <c r="O216" i="6"/>
  <c r="T216" i="6" s="1"/>
  <c r="M319" i="8"/>
  <c r="P311" i="6" s="1"/>
  <c r="O311" i="6"/>
  <c r="M310" i="8"/>
  <c r="P302" i="6" s="1"/>
  <c r="O302" i="6"/>
  <c r="M272" i="8"/>
  <c r="P266" i="6" s="1"/>
  <c r="O266" i="6"/>
  <c r="T266" i="6" s="1"/>
  <c r="M300" i="8"/>
  <c r="P293" i="6" s="1"/>
  <c r="O293" i="6"/>
  <c r="M362" i="8"/>
  <c r="P355" i="6" s="1"/>
  <c r="O355" i="6"/>
  <c r="M255" i="8"/>
  <c r="P250" i="6" s="1"/>
  <c r="O250" i="6"/>
  <c r="T250" i="6" s="1"/>
  <c r="M279" i="8"/>
  <c r="P272" i="6" s="1"/>
  <c r="O272" i="6"/>
  <c r="M303" i="8"/>
  <c r="P296" i="6" s="1"/>
  <c r="O296" i="6"/>
  <c r="M403" i="8"/>
  <c r="P396" i="6" s="1"/>
  <c r="O396" i="6"/>
  <c r="T396" i="6" s="1"/>
  <c r="M475" i="8"/>
  <c r="P466" i="6" s="1"/>
  <c r="O466" i="6"/>
  <c r="M387" i="8"/>
  <c r="P379" i="6" s="1"/>
  <c r="O379" i="6"/>
  <c r="M473" i="8"/>
  <c r="P463" i="6" s="1"/>
  <c r="O463" i="6"/>
  <c r="T463" i="6" s="1"/>
  <c r="M392" i="8"/>
  <c r="P384" i="6" s="1"/>
  <c r="O384" i="6"/>
  <c r="M464" i="8"/>
  <c r="P455" i="6" s="1"/>
  <c r="O455" i="6"/>
  <c r="M379" i="8"/>
  <c r="P372" i="6" s="1"/>
  <c r="O372" i="6"/>
  <c r="T372" i="6" s="1"/>
  <c r="M462" i="8"/>
  <c r="P453" i="6" s="1"/>
  <c r="O453" i="6"/>
  <c r="M534" i="8"/>
  <c r="P523" i="6" s="1"/>
  <c r="O523" i="6"/>
  <c r="M455" i="8"/>
  <c r="P447" i="6" s="1"/>
  <c r="O447" i="6"/>
  <c r="T447" i="6" s="1"/>
  <c r="M527" i="8"/>
  <c r="P516" i="6" s="1"/>
  <c r="O516" i="6"/>
  <c r="M429" i="8"/>
  <c r="P422" i="6" s="1"/>
  <c r="O422" i="6"/>
  <c r="M506" i="8"/>
  <c r="P496" i="6" s="1"/>
  <c r="O496" i="6"/>
  <c r="T496" i="6" s="1"/>
  <c r="S26" i="6"/>
  <c r="M26" i="6"/>
  <c r="D9" i="5"/>
  <c r="C9" i="5"/>
  <c r="F70" i="1" s="1"/>
  <c r="E9" i="5"/>
  <c r="G70" i="1" s="1"/>
  <c r="M206" i="6"/>
  <c r="M76" i="6"/>
  <c r="T76" i="6"/>
  <c r="R76" i="6"/>
  <c r="M8" i="6"/>
  <c r="M95" i="6"/>
  <c r="C8" i="5"/>
  <c r="F69" i="1" s="1"/>
  <c r="E8" i="5"/>
  <c r="G69" i="1" s="1"/>
  <c r="D8" i="5"/>
  <c r="M56" i="6"/>
  <c r="M11" i="6"/>
  <c r="M114" i="6"/>
  <c r="S141" i="6"/>
  <c r="M141" i="6"/>
  <c r="S189" i="6"/>
  <c r="L11" i="5"/>
  <c r="M457" i="8"/>
  <c r="P449" i="6" s="1"/>
  <c r="O449" i="6"/>
  <c r="T214" i="6"/>
  <c r="M214" i="6"/>
  <c r="S117" i="6"/>
  <c r="M117" i="6"/>
  <c r="M44" i="6"/>
  <c r="S137" i="6"/>
  <c r="M137" i="6"/>
  <c r="M34" i="6"/>
  <c r="M227" i="6"/>
  <c r="S221" i="6"/>
  <c r="S257" i="6"/>
  <c r="S148" i="6"/>
  <c r="M148" i="6"/>
  <c r="S272" i="6"/>
  <c r="M272" i="6"/>
  <c r="S406" i="6"/>
  <c r="S428" i="6"/>
  <c r="M428" i="6"/>
  <c r="S519" i="6"/>
  <c r="M107" i="8"/>
  <c r="P103" i="6" s="1"/>
  <c r="O103" i="6"/>
  <c r="T103" i="6" s="1"/>
  <c r="M88" i="8"/>
  <c r="P85" i="6" s="1"/>
  <c r="O85" i="6"/>
  <c r="M324" i="8"/>
  <c r="P316" i="6" s="1"/>
  <c r="O316" i="6"/>
  <c r="T316" i="6" s="1"/>
  <c r="M26" i="8"/>
  <c r="P26" i="6" s="1"/>
  <c r="O26" i="6"/>
  <c r="M59" i="8"/>
  <c r="P56" i="6" s="1"/>
  <c r="O56" i="6"/>
  <c r="T56" i="6" s="1"/>
  <c r="M134" i="8"/>
  <c r="P130" i="6" s="1"/>
  <c r="O130" i="6"/>
  <c r="M137" i="8"/>
  <c r="P133" i="6" s="1"/>
  <c r="O133" i="6"/>
  <c r="T133" i="6" s="1"/>
  <c r="M108" i="8"/>
  <c r="P104" i="6" s="1"/>
  <c r="O104" i="6"/>
  <c r="M101" i="8"/>
  <c r="P98" i="6" s="1"/>
  <c r="O98" i="6"/>
  <c r="T98" i="6" s="1"/>
  <c r="M73" i="8"/>
  <c r="P70" i="6" s="1"/>
  <c r="O70" i="6"/>
  <c r="M183" i="8"/>
  <c r="P179" i="6" s="1"/>
  <c r="O179" i="6"/>
  <c r="T179" i="6" s="1"/>
  <c r="M19" i="8"/>
  <c r="P19" i="6" s="1"/>
  <c r="O19" i="6"/>
  <c r="M47" i="8"/>
  <c r="P45" i="6" s="1"/>
  <c r="O45" i="6"/>
  <c r="T45" i="6" s="1"/>
  <c r="M58" i="8"/>
  <c r="P55" i="6" s="1"/>
  <c r="O55" i="6"/>
  <c r="M207" i="8"/>
  <c r="P201" i="6" s="1"/>
  <c r="O201" i="6"/>
  <c r="T201" i="6" s="1"/>
  <c r="M141" i="8"/>
  <c r="P137" i="6" s="1"/>
  <c r="O137" i="6"/>
  <c r="M194" i="8"/>
  <c r="P189" i="6" s="1"/>
  <c r="O189" i="6"/>
  <c r="T189" i="6" s="1"/>
  <c r="M220" i="8"/>
  <c r="P215" i="6" s="1"/>
  <c r="O215" i="6"/>
  <c r="M243" i="8"/>
  <c r="P238" i="6" s="1"/>
  <c r="O238" i="6"/>
  <c r="M199" i="8"/>
  <c r="P193" i="6" s="1"/>
  <c r="O193" i="6"/>
  <c r="M244" i="8"/>
  <c r="P239" i="6" s="1"/>
  <c r="O239" i="6"/>
  <c r="T239" i="6" s="1"/>
  <c r="M331" i="8"/>
  <c r="P323" i="6" s="1"/>
  <c r="O323" i="6"/>
  <c r="M334" i="8"/>
  <c r="P326" i="6" s="1"/>
  <c r="O326" i="6"/>
  <c r="T326" i="6" s="1"/>
  <c r="M282" i="8"/>
  <c r="P275" i="6" s="1"/>
  <c r="O275" i="6"/>
  <c r="M306" i="8"/>
  <c r="P299" i="6" s="1"/>
  <c r="O299" i="6"/>
  <c r="T299" i="6" s="1"/>
  <c r="M322" i="8"/>
  <c r="P314" i="6" s="1"/>
  <c r="O314" i="6"/>
  <c r="M261" i="8"/>
  <c r="P256" i="6" s="1"/>
  <c r="O256" i="6"/>
  <c r="T256" i="6" s="1"/>
  <c r="M285" i="8"/>
  <c r="P278" i="6" s="1"/>
  <c r="O278" i="6"/>
  <c r="M309" i="8"/>
  <c r="P301" i="6" s="1"/>
  <c r="O301" i="6"/>
  <c r="T301" i="6" s="1"/>
  <c r="M420" i="8"/>
  <c r="P413" i="6" s="1"/>
  <c r="O413" i="6"/>
  <c r="M492" i="8"/>
  <c r="P483" i="6" s="1"/>
  <c r="O483" i="6"/>
  <c r="T483" i="6" s="1"/>
  <c r="M406" i="8"/>
  <c r="P399" i="6" s="1"/>
  <c r="O399" i="6"/>
  <c r="M490" i="8"/>
  <c r="P481" i="6" s="1"/>
  <c r="O481" i="6"/>
  <c r="T481" i="6" s="1"/>
  <c r="M411" i="8"/>
  <c r="P404" i="6" s="1"/>
  <c r="O404" i="6"/>
  <c r="M483" i="8"/>
  <c r="P474" i="6" s="1"/>
  <c r="O474" i="6"/>
  <c r="T474" i="6" s="1"/>
  <c r="M402" i="8"/>
  <c r="P395" i="6" s="1"/>
  <c r="O395" i="6"/>
  <c r="M481" i="8"/>
  <c r="P472" i="6" s="1"/>
  <c r="O472" i="6"/>
  <c r="T472" i="6" s="1"/>
  <c r="M395" i="8"/>
  <c r="P387" i="6" s="1"/>
  <c r="O387" i="6"/>
  <c r="M472" i="8"/>
  <c r="P462" i="6" s="1"/>
  <c r="O462" i="6"/>
  <c r="T462" i="6" s="1"/>
  <c r="M384" i="8"/>
  <c r="P376" i="6" s="1"/>
  <c r="O376" i="6"/>
  <c r="M446" i="8"/>
  <c r="P438" i="6" s="1"/>
  <c r="O438" i="6"/>
  <c r="T438" i="6" s="1"/>
  <c r="M525" i="8"/>
  <c r="P515" i="6" s="1"/>
  <c r="O515" i="6"/>
  <c r="E14" i="5"/>
  <c r="G75" i="1" s="1"/>
  <c r="D14" i="5"/>
  <c r="C14" i="5"/>
  <c r="F75" i="1" s="1"/>
  <c r="M196" i="6"/>
  <c r="D12" i="5"/>
  <c r="C12" i="5"/>
  <c r="F73" i="1" s="1"/>
  <c r="E12" i="5"/>
  <c r="G73" i="1" s="1"/>
  <c r="S140" i="6"/>
  <c r="S128" i="6"/>
  <c r="S132" i="6"/>
  <c r="M204" i="6"/>
  <c r="M40" i="6"/>
  <c r="M246" i="6"/>
  <c r="S250" i="6"/>
  <c r="M334" i="6"/>
  <c r="M159" i="6"/>
  <c r="S241" i="6"/>
  <c r="M273" i="6"/>
  <c r="S404" i="6"/>
  <c r="M404" i="6"/>
  <c r="S411" i="6"/>
  <c r="S492" i="6"/>
  <c r="S433" i="6"/>
  <c r="S465" i="6"/>
  <c r="M119" i="8"/>
  <c r="P115" i="6" s="1"/>
  <c r="O115" i="6"/>
  <c r="T115" i="6" s="1"/>
  <c r="M100" i="8"/>
  <c r="P97" i="6" s="1"/>
  <c r="O97" i="6"/>
  <c r="M348" i="8"/>
  <c r="P342" i="6" s="1"/>
  <c r="U342" i="6" s="1"/>
  <c r="O342" i="6"/>
  <c r="S342" i="6" s="1"/>
  <c r="M28" i="8"/>
  <c r="P28" i="6" s="1"/>
  <c r="O28" i="6"/>
  <c r="T28" i="6" s="1"/>
  <c r="M72" i="8"/>
  <c r="P69" i="6" s="1"/>
  <c r="O69" i="6"/>
  <c r="M142" i="8"/>
  <c r="P138" i="6" s="1"/>
  <c r="O138" i="6"/>
  <c r="M145" i="8"/>
  <c r="P141" i="6" s="1"/>
  <c r="O141" i="6"/>
  <c r="T141" i="6" s="1"/>
  <c r="M120" i="8"/>
  <c r="P116" i="6" s="1"/>
  <c r="O116" i="6"/>
  <c r="M113" i="8"/>
  <c r="P109" i="6" s="1"/>
  <c r="O109" i="6"/>
  <c r="M82" i="8"/>
  <c r="P79" i="6" s="1"/>
  <c r="O79" i="6"/>
  <c r="T79" i="6" s="1"/>
  <c r="M190" i="8"/>
  <c r="P185" i="6" s="1"/>
  <c r="O185" i="6"/>
  <c r="M21" i="8"/>
  <c r="P21" i="6" s="1"/>
  <c r="O21" i="6"/>
  <c r="M60" i="8"/>
  <c r="P57" i="6" s="1"/>
  <c r="O57" i="6"/>
  <c r="T57" i="6" s="1"/>
  <c r="M69" i="8"/>
  <c r="P66" i="6" s="1"/>
  <c r="O66" i="6"/>
  <c r="M239" i="8"/>
  <c r="P233" i="6" s="1"/>
  <c r="O233" i="6"/>
  <c r="M149" i="8"/>
  <c r="P145" i="6" s="1"/>
  <c r="O145" i="6"/>
  <c r="M215" i="8"/>
  <c r="P209" i="6" s="1"/>
  <c r="O209" i="6"/>
  <c r="T209" i="6" s="1"/>
  <c r="M229" i="8"/>
  <c r="P223" i="6" s="1"/>
  <c r="O223" i="6"/>
  <c r="M246" i="8"/>
  <c r="P241" i="6" s="1"/>
  <c r="O241" i="6"/>
  <c r="T241" i="6" s="1"/>
  <c r="M210" i="8"/>
  <c r="P204" i="6" s="1"/>
  <c r="O204" i="6"/>
  <c r="M247" i="8"/>
  <c r="P242" i="6" s="1"/>
  <c r="O242" i="6"/>
  <c r="M335" i="8"/>
  <c r="P327" i="6" s="1"/>
  <c r="O327" i="6"/>
  <c r="M342" i="8"/>
  <c r="P333" i="6" s="1"/>
  <c r="O333" i="6"/>
  <c r="M284" i="8"/>
  <c r="P277" i="6" s="1"/>
  <c r="O277" i="6"/>
  <c r="M313" i="8"/>
  <c r="P305" i="6" s="1"/>
  <c r="O305" i="6"/>
  <c r="T305" i="6" s="1"/>
  <c r="M330" i="8"/>
  <c r="P322" i="6" s="1"/>
  <c r="O322" i="6"/>
  <c r="M287" i="8"/>
  <c r="P280" i="6" s="1"/>
  <c r="O280" i="6"/>
  <c r="M317" i="8"/>
  <c r="P309" i="6" s="1"/>
  <c r="O309" i="6"/>
  <c r="M427" i="8"/>
  <c r="P420" i="6" s="1"/>
  <c r="O420" i="6"/>
  <c r="M499" i="8"/>
  <c r="P489" i="6" s="1"/>
  <c r="O489" i="6"/>
  <c r="M413" i="8"/>
  <c r="P406" i="6" s="1"/>
  <c r="O406" i="6"/>
  <c r="T406" i="6" s="1"/>
  <c r="M502" i="8"/>
  <c r="P492" i="6" s="1"/>
  <c r="O492" i="6"/>
  <c r="M416" i="8"/>
  <c r="P409" i="6" s="1"/>
  <c r="O409" i="6"/>
  <c r="M488" i="8"/>
  <c r="P479" i="6" s="1"/>
  <c r="O479" i="6"/>
  <c r="M409" i="8"/>
  <c r="P402" i="6" s="1"/>
  <c r="O402" i="6"/>
  <c r="M486" i="8"/>
  <c r="P477" i="6" s="1"/>
  <c r="O477" i="6"/>
  <c r="M400" i="8"/>
  <c r="P392" i="6" s="1"/>
  <c r="O392" i="6"/>
  <c r="T392" i="6" s="1"/>
  <c r="M479" i="8"/>
  <c r="P470" i="6" s="1"/>
  <c r="O470" i="6"/>
  <c r="M371" i="8"/>
  <c r="P364" i="6" s="1"/>
  <c r="O364" i="6"/>
  <c r="M530" i="8"/>
  <c r="P519" i="6" s="1"/>
  <c r="O519" i="6"/>
  <c r="M180" i="6"/>
  <c r="L10" i="5"/>
  <c r="M519" i="8"/>
  <c r="P509" i="6" s="1"/>
  <c r="O509" i="6"/>
  <c r="N10" i="5"/>
  <c r="M497" i="8"/>
  <c r="P488" i="6" s="1"/>
  <c r="O488" i="6"/>
  <c r="M469" i="6"/>
  <c r="K10" i="5"/>
  <c r="W7" i="7"/>
  <c r="X7" i="7" s="1"/>
  <c r="M445" i="6"/>
  <c r="M363" i="6"/>
  <c r="N9" i="5" s="1"/>
  <c r="K9" i="5"/>
  <c r="M30" i="6"/>
  <c r="M149" i="6"/>
  <c r="S133" i="6"/>
  <c r="M133" i="6"/>
  <c r="S46" i="6"/>
  <c r="M46" i="6"/>
  <c r="M162" i="6"/>
  <c r="S301" i="6"/>
  <c r="M301" i="6"/>
  <c r="M160" i="6"/>
  <c r="S315" i="6"/>
  <c r="S283" i="6"/>
  <c r="M283" i="6"/>
  <c r="S277" i="6"/>
  <c r="M277" i="6"/>
  <c r="S219" i="6"/>
  <c r="S308" i="6"/>
  <c r="M308" i="6"/>
  <c r="S282" i="6"/>
  <c r="M324" i="6"/>
  <c r="S481" i="6"/>
  <c r="S369" i="6"/>
  <c r="S479" i="6"/>
  <c r="M434" i="6"/>
  <c r="S498" i="6"/>
  <c r="S496" i="6"/>
  <c r="M136" i="8"/>
  <c r="P132" i="6" s="1"/>
  <c r="O132" i="6"/>
  <c r="T132" i="6" s="1"/>
  <c r="M112" i="8"/>
  <c r="P108" i="6" s="1"/>
  <c r="O108" i="6"/>
  <c r="M6" i="8"/>
  <c r="P6" i="6" s="1"/>
  <c r="O6" i="6"/>
  <c r="M30" i="8"/>
  <c r="P30" i="6" s="1"/>
  <c r="O30" i="6"/>
  <c r="T30" i="6" s="1"/>
  <c r="M81" i="8"/>
  <c r="P78" i="6" s="1"/>
  <c r="O78" i="6"/>
  <c r="M150" i="8"/>
  <c r="P146" i="6" s="1"/>
  <c r="O146" i="6"/>
  <c r="M153" i="8"/>
  <c r="P149" i="6" s="1"/>
  <c r="O149" i="6"/>
  <c r="T149" i="6" s="1"/>
  <c r="M132" i="8"/>
  <c r="P128" i="6" s="1"/>
  <c r="O128" i="6"/>
  <c r="M125" i="8"/>
  <c r="P122" i="6" s="1"/>
  <c r="O122" i="6"/>
  <c r="M94" i="8"/>
  <c r="P91" i="6" s="1"/>
  <c r="O91" i="6"/>
  <c r="T91" i="6" s="1"/>
  <c r="M217" i="8"/>
  <c r="P211" i="6" s="1"/>
  <c r="O211" i="6"/>
  <c r="M23" i="8"/>
  <c r="P23" i="6" s="1"/>
  <c r="O23" i="6"/>
  <c r="M71" i="8"/>
  <c r="P68" i="6" s="1"/>
  <c r="O68" i="6"/>
  <c r="T68" i="6" s="1"/>
  <c r="M80" i="8"/>
  <c r="P77" i="6" s="1"/>
  <c r="O77" i="6"/>
  <c r="M248" i="8"/>
  <c r="P243" i="6" s="1"/>
  <c r="O243" i="6"/>
  <c r="M157" i="8"/>
  <c r="P153" i="6" s="1"/>
  <c r="O153" i="6"/>
  <c r="T153" i="6" s="1"/>
  <c r="M328" i="8"/>
  <c r="P320" i="6" s="1"/>
  <c r="O320" i="6"/>
  <c r="M234" i="8"/>
  <c r="P228" i="6" s="1"/>
  <c r="O228" i="6"/>
  <c r="M249" i="8"/>
  <c r="P244" i="6" s="1"/>
  <c r="O244" i="6"/>
  <c r="T244" i="6" s="1"/>
  <c r="M223" i="8"/>
  <c r="P218" i="6" s="1"/>
  <c r="O218" i="6"/>
  <c r="M250" i="8"/>
  <c r="P245" i="6" s="1"/>
  <c r="O245" i="6"/>
  <c r="M339" i="8"/>
  <c r="P330" i="6" s="1"/>
  <c r="O330" i="6"/>
  <c r="T330" i="6" s="1"/>
  <c r="M350" i="8"/>
  <c r="P344" i="6" s="1"/>
  <c r="O344" i="6"/>
  <c r="M286" i="8"/>
  <c r="P279" i="6" s="1"/>
  <c r="O279" i="6"/>
  <c r="S279" i="6" s="1"/>
  <c r="M321" i="8"/>
  <c r="P313" i="6" s="1"/>
  <c r="O313" i="6"/>
  <c r="T313" i="6" s="1"/>
  <c r="M338" i="8"/>
  <c r="P329" i="6" s="1"/>
  <c r="O329" i="6"/>
  <c r="M265" i="8"/>
  <c r="P259" i="6" s="1"/>
  <c r="O259" i="6"/>
  <c r="M289" i="8"/>
  <c r="P282" i="6" s="1"/>
  <c r="O282" i="6"/>
  <c r="T282" i="6" s="1"/>
  <c r="M325" i="8"/>
  <c r="P317" i="6" s="1"/>
  <c r="O317" i="6"/>
  <c r="T317" i="6" s="1"/>
  <c r="M432" i="8"/>
  <c r="P425" i="6" s="1"/>
  <c r="O425" i="6"/>
  <c r="M504" i="8"/>
  <c r="P494" i="6" s="1"/>
  <c r="O494" i="6"/>
  <c r="T494" i="6" s="1"/>
  <c r="M418" i="8"/>
  <c r="P411" i="6" s="1"/>
  <c r="O411" i="6"/>
  <c r="M509" i="8"/>
  <c r="P499" i="6" s="1"/>
  <c r="O499" i="6"/>
  <c r="M423" i="8"/>
  <c r="P416" i="6" s="1"/>
  <c r="O416" i="6"/>
  <c r="T416" i="6" s="1"/>
  <c r="M495" i="8"/>
  <c r="P486" i="6" s="1"/>
  <c r="O486" i="6"/>
  <c r="M414" i="8"/>
  <c r="P407" i="6" s="1"/>
  <c r="O407" i="6"/>
  <c r="M493" i="8"/>
  <c r="P484" i="6" s="1"/>
  <c r="O484" i="6"/>
  <c r="T484" i="6" s="1"/>
  <c r="M407" i="8"/>
  <c r="P400" i="6" s="1"/>
  <c r="O400" i="6"/>
  <c r="M484" i="8"/>
  <c r="P475" i="6" s="1"/>
  <c r="O475" i="6"/>
  <c r="M382" i="8"/>
  <c r="P374" i="6" s="1"/>
  <c r="O374" i="6"/>
  <c r="T374" i="6" s="1"/>
  <c r="M465" i="8"/>
  <c r="P456" i="6" s="1"/>
  <c r="O456" i="6"/>
  <c r="M359" i="8"/>
  <c r="P352" i="6" s="1"/>
  <c r="O352" i="6"/>
  <c r="G58" i="1"/>
  <c r="E5" i="5"/>
  <c r="D5" i="5"/>
  <c r="G56" i="1"/>
  <c r="C5" i="5"/>
  <c r="G57" i="1"/>
  <c r="S15" i="6"/>
  <c r="M15" i="6"/>
  <c r="M128" i="6"/>
  <c r="M132" i="6"/>
  <c r="M453" i="8"/>
  <c r="P445" i="6" s="1"/>
  <c r="O445" i="6"/>
  <c r="T445" i="6" s="1"/>
  <c r="M262" i="8"/>
  <c r="P257" i="6" s="1"/>
  <c r="O257" i="6"/>
  <c r="E11" i="5"/>
  <c r="G72" i="1" s="1"/>
  <c r="D11" i="5"/>
  <c r="C11" i="5"/>
  <c r="F72" i="1" s="1"/>
  <c r="W11" i="7"/>
  <c r="X11" i="7" s="1"/>
  <c r="T268" i="6"/>
  <c r="M268" i="6"/>
  <c r="R268" i="6"/>
  <c r="L8" i="5" s="1"/>
  <c r="M274" i="6"/>
  <c r="K7" i="5"/>
  <c r="M7" i="5" s="1"/>
  <c r="M219" i="6"/>
  <c r="S145" i="6"/>
  <c r="M145" i="6"/>
  <c r="M127" i="6"/>
  <c r="M33" i="6"/>
  <c r="S91" i="6"/>
  <c r="M91" i="6"/>
  <c r="M5" i="6"/>
  <c r="M150" i="6"/>
  <c r="K12" i="5"/>
  <c r="D15" i="5"/>
  <c r="C15" i="5"/>
  <c r="F76" i="1" s="1"/>
  <c r="E15" i="5"/>
  <c r="G76" i="1" s="1"/>
  <c r="S105" i="6"/>
  <c r="S55" i="6"/>
  <c r="S123" i="6"/>
  <c r="S116" i="6"/>
  <c r="S291" i="6"/>
  <c r="S249" i="6"/>
  <c r="S197" i="6"/>
  <c r="M325" i="6"/>
  <c r="M232" i="6"/>
  <c r="S350" i="6"/>
  <c r="S358" i="6"/>
  <c r="S355" i="6"/>
  <c r="S484" i="6"/>
  <c r="S469" i="6"/>
  <c r="S489" i="6"/>
  <c r="S455" i="6"/>
  <c r="S472" i="6"/>
  <c r="S477" i="6"/>
  <c r="M83" i="8"/>
  <c r="P80" i="6" s="1"/>
  <c r="O80" i="6"/>
  <c r="T80" i="6" s="1"/>
  <c r="M61" i="8"/>
  <c r="P58" i="6" s="1"/>
  <c r="O58" i="6"/>
  <c r="T58" i="6" s="1"/>
  <c r="M245" i="8"/>
  <c r="P240" i="6" s="1"/>
  <c r="O240" i="6"/>
  <c r="M22" i="8"/>
  <c r="P22" i="6" s="1"/>
  <c r="O22" i="6"/>
  <c r="T22" i="6" s="1"/>
  <c r="M46" i="8"/>
  <c r="P44" i="6" s="1"/>
  <c r="O44" i="6"/>
  <c r="M110" i="8"/>
  <c r="P106" i="6" s="1"/>
  <c r="O106" i="6"/>
  <c r="M115" i="8"/>
  <c r="P111" i="6" s="1"/>
  <c r="O111" i="6"/>
  <c r="T111" i="6" s="1"/>
  <c r="M84" i="8"/>
  <c r="P81" i="6" s="1"/>
  <c r="O81" i="6"/>
  <c r="T81" i="6" s="1"/>
  <c r="M75" i="8"/>
  <c r="P72" i="6" s="1"/>
  <c r="O72" i="6"/>
  <c r="M49" i="8"/>
  <c r="P47" i="6" s="1"/>
  <c r="O47" i="6"/>
  <c r="M167" i="8"/>
  <c r="P163" i="6" s="1"/>
  <c r="O163" i="6"/>
  <c r="M15" i="8"/>
  <c r="P15" i="6" s="1"/>
  <c r="O15" i="6"/>
  <c r="M39" i="8"/>
  <c r="P39" i="6" s="1"/>
  <c r="O39" i="6"/>
  <c r="T39" i="6" s="1"/>
  <c r="M231" i="8"/>
  <c r="P225" i="6" s="1"/>
  <c r="O225" i="6"/>
  <c r="T225" i="6" s="1"/>
  <c r="M170" i="8"/>
  <c r="P166" i="6" s="1"/>
  <c r="O166" i="6"/>
  <c r="M121" i="8"/>
  <c r="P118" i="6" s="1"/>
  <c r="U118" i="6" s="1"/>
  <c r="O118" i="6"/>
  <c r="S118" i="6" s="1"/>
  <c r="M114" i="8"/>
  <c r="P110" i="6" s="1"/>
  <c r="O110" i="6"/>
  <c r="M196" i="8"/>
  <c r="P190" i="6" s="1"/>
  <c r="O190" i="6"/>
  <c r="M237" i="8"/>
  <c r="P231" i="6" s="1"/>
  <c r="O231" i="6"/>
  <c r="T231" i="6" s="1"/>
  <c r="M175" i="8"/>
  <c r="P171" i="6" s="1"/>
  <c r="O171" i="6"/>
  <c r="T171" i="6" s="1"/>
  <c r="M238" i="8"/>
  <c r="P232" i="6" s="1"/>
  <c r="O232" i="6"/>
  <c r="S232" i="6" s="1"/>
  <c r="M323" i="8"/>
  <c r="P315" i="6" s="1"/>
  <c r="O315" i="6"/>
  <c r="T315" i="6" s="1"/>
  <c r="M318" i="8"/>
  <c r="P310" i="6" s="1"/>
  <c r="O310" i="6"/>
  <c r="S310" i="6" s="1"/>
  <c r="M278" i="8"/>
  <c r="P271" i="6" s="1"/>
  <c r="O271" i="6"/>
  <c r="M302" i="8"/>
  <c r="P295" i="6" s="1"/>
  <c r="O295" i="6"/>
  <c r="T295" i="6" s="1"/>
  <c r="M368" i="8"/>
  <c r="P361" i="6" s="1"/>
  <c r="O361" i="6"/>
  <c r="T361" i="6" s="1"/>
  <c r="M257" i="8"/>
  <c r="P252" i="6" s="1"/>
  <c r="O252" i="6"/>
  <c r="M281" i="8"/>
  <c r="P274" i="6" s="1"/>
  <c r="O274" i="6"/>
  <c r="T274" i="6" s="1"/>
  <c r="M305" i="8"/>
  <c r="P298" i="6" s="1"/>
  <c r="O298" i="6"/>
  <c r="M408" i="8"/>
  <c r="P401" i="6" s="1"/>
  <c r="O401" i="6"/>
  <c r="S401" i="6" s="1"/>
  <c r="M480" i="8"/>
  <c r="P471" i="6" s="1"/>
  <c r="O471" i="6"/>
  <c r="T471" i="6" s="1"/>
  <c r="M394" i="8"/>
  <c r="P386" i="6" s="1"/>
  <c r="O386" i="6"/>
  <c r="T386" i="6" s="1"/>
  <c r="M478" i="8"/>
  <c r="P469" i="6" s="1"/>
  <c r="O469" i="6"/>
  <c r="M399" i="8"/>
  <c r="P391" i="6" s="1"/>
  <c r="O391" i="6"/>
  <c r="T391" i="6" s="1"/>
  <c r="M471" i="8"/>
  <c r="P461" i="6" s="1"/>
  <c r="O461" i="6"/>
  <c r="M390" i="8"/>
  <c r="P382" i="6" s="1"/>
  <c r="O382" i="6"/>
  <c r="M469" i="8"/>
  <c r="P459" i="6" s="1"/>
  <c r="O459" i="6"/>
  <c r="T459" i="6" s="1"/>
  <c r="M375" i="8"/>
  <c r="P368" i="6" s="1"/>
  <c r="O368" i="6"/>
  <c r="T368" i="6" s="1"/>
  <c r="M460" i="8"/>
  <c r="P451" i="6" s="1"/>
  <c r="O451" i="6"/>
  <c r="M532" i="8"/>
  <c r="P521" i="6" s="1"/>
  <c r="O521" i="6"/>
  <c r="T521" i="6" s="1"/>
  <c r="M434" i="8"/>
  <c r="P427" i="6" s="1"/>
  <c r="O427" i="6"/>
  <c r="M513" i="8"/>
  <c r="P503" i="6" s="1"/>
  <c r="O503" i="6"/>
  <c r="M18" i="6"/>
  <c r="M71" i="6"/>
  <c r="M17" i="6"/>
  <c r="P11" i="4"/>
  <c r="F33" i="1" s="1"/>
  <c r="R6" i="4"/>
  <c r="M418" i="6"/>
  <c r="M416" i="6"/>
  <c r="M385" i="6"/>
  <c r="M241" i="6"/>
  <c r="L12" i="5"/>
  <c r="M192" i="6"/>
  <c r="S90" i="6"/>
  <c r="M90" i="6"/>
  <c r="J16" i="5"/>
  <c r="E66" i="1"/>
  <c r="M140" i="6"/>
  <c r="S54" i="6"/>
  <c r="S157" i="6"/>
  <c r="M107" i="6"/>
  <c r="S76" i="6"/>
  <c r="S295" i="6"/>
  <c r="M295" i="6"/>
  <c r="S28" i="6"/>
  <c r="M28" i="6"/>
  <c r="S109" i="6"/>
  <c r="S256" i="6"/>
  <c r="S222" i="6"/>
  <c r="M222" i="6"/>
  <c r="S122" i="6"/>
  <c r="M321" i="6"/>
  <c r="S245" i="6"/>
  <c r="M136" i="6"/>
  <c r="S313" i="6"/>
  <c r="M313" i="6"/>
  <c r="S377" i="6"/>
  <c r="S244" i="6"/>
  <c r="M244" i="6"/>
  <c r="S264" i="6"/>
  <c r="S387" i="6"/>
  <c r="M370" i="6"/>
  <c r="S400" i="6"/>
  <c r="S379" i="6"/>
  <c r="S409" i="6"/>
  <c r="S462" i="6"/>
  <c r="S501" i="6"/>
  <c r="M95" i="8"/>
  <c r="P92" i="6" s="1"/>
  <c r="O92" i="6"/>
  <c r="T92" i="6" s="1"/>
  <c r="M74" i="8"/>
  <c r="P71" i="6" s="1"/>
  <c r="O71" i="6"/>
  <c r="M254" i="8"/>
  <c r="P249" i="6" s="1"/>
  <c r="O249" i="6"/>
  <c r="M24" i="8"/>
  <c r="P24" i="6" s="1"/>
  <c r="O24" i="6"/>
  <c r="M48" i="8"/>
  <c r="P46" i="6" s="1"/>
  <c r="O46" i="6"/>
  <c r="M122" i="8"/>
  <c r="P119" i="6" s="1"/>
  <c r="U119" i="6" s="1"/>
  <c r="O119" i="6"/>
  <c r="S119" i="6" s="1"/>
  <c r="M127" i="8"/>
  <c r="P124" i="6" s="1"/>
  <c r="O124" i="6"/>
  <c r="T124" i="6" s="1"/>
  <c r="M96" i="8"/>
  <c r="P93" i="6" s="1"/>
  <c r="O93" i="6"/>
  <c r="M89" i="8"/>
  <c r="P86" i="6" s="1"/>
  <c r="O86" i="6"/>
  <c r="S86" i="6" s="1"/>
  <c r="M62" i="8"/>
  <c r="P59" i="6" s="1"/>
  <c r="O59" i="6"/>
  <c r="T59" i="6" s="1"/>
  <c r="M180" i="8"/>
  <c r="P176" i="6" s="1"/>
  <c r="O176" i="6"/>
  <c r="M17" i="8"/>
  <c r="P17" i="6" s="1"/>
  <c r="O17" i="6"/>
  <c r="M43" i="8"/>
  <c r="P42" i="6" s="1"/>
  <c r="O42" i="6"/>
  <c r="T42" i="6" s="1"/>
  <c r="M252" i="8"/>
  <c r="P247" i="6" s="1"/>
  <c r="O247" i="6"/>
  <c r="M204" i="8"/>
  <c r="P198" i="6" s="1"/>
  <c r="O198" i="6"/>
  <c r="M133" i="8"/>
  <c r="P129" i="6" s="1"/>
  <c r="O129" i="6"/>
  <c r="T129" i="6" s="1"/>
  <c r="M126" i="8"/>
  <c r="P123" i="6" s="1"/>
  <c r="O123" i="6"/>
  <c r="M209" i="8"/>
  <c r="P203" i="6" s="1"/>
  <c r="O203" i="6"/>
  <c r="S203" i="6" s="1"/>
  <c r="M240" i="8"/>
  <c r="P234" i="6" s="1"/>
  <c r="O234" i="6"/>
  <c r="T234" i="6" s="1"/>
  <c r="M186" i="8"/>
  <c r="P181" i="6" s="1"/>
  <c r="O181" i="6"/>
  <c r="T181" i="6" s="1"/>
  <c r="M241" i="8"/>
  <c r="P236" i="6" s="1"/>
  <c r="O236" i="6"/>
  <c r="M327" i="8"/>
  <c r="P319" i="6" s="1"/>
  <c r="O319" i="6"/>
  <c r="T319" i="6" s="1"/>
  <c r="M326" i="8"/>
  <c r="P318" i="6" s="1"/>
  <c r="O318" i="6"/>
  <c r="M280" i="8"/>
  <c r="P273" i="6" s="1"/>
  <c r="O273" i="6"/>
  <c r="S273" i="6" s="1"/>
  <c r="M304" i="8"/>
  <c r="P297" i="6" s="1"/>
  <c r="O297" i="6"/>
  <c r="T297" i="6" s="1"/>
  <c r="M314" i="8"/>
  <c r="P306" i="6" s="1"/>
  <c r="O306" i="6"/>
  <c r="M259" i="8"/>
  <c r="P254" i="6" s="1"/>
  <c r="O254" i="6"/>
  <c r="M283" i="8"/>
  <c r="P276" i="6" s="1"/>
  <c r="O276" i="6"/>
  <c r="T276" i="6" s="1"/>
  <c r="M307" i="8"/>
  <c r="P300" i="6" s="1"/>
  <c r="O300" i="6"/>
  <c r="M415" i="8"/>
  <c r="P408" i="6" s="1"/>
  <c r="O408" i="6"/>
  <c r="M487" i="8"/>
  <c r="P478" i="6" s="1"/>
  <c r="O478" i="6"/>
  <c r="T478" i="6" s="1"/>
  <c r="M401" i="8"/>
  <c r="P394" i="6" s="1"/>
  <c r="O394" i="6"/>
  <c r="M485" i="8"/>
  <c r="P476" i="6" s="1"/>
  <c r="O476" i="6"/>
  <c r="M404" i="8"/>
  <c r="P397" i="6" s="1"/>
  <c r="O397" i="6"/>
  <c r="T397" i="6" s="1"/>
  <c r="M476" i="8"/>
  <c r="P467" i="6" s="1"/>
  <c r="U467" i="6" s="1"/>
  <c r="O467" i="6"/>
  <c r="S467" i="6" s="1"/>
  <c r="M397" i="8"/>
  <c r="P389" i="6" s="1"/>
  <c r="O389" i="6"/>
  <c r="M474" i="8"/>
  <c r="P465" i="6" s="1"/>
  <c r="O465" i="6"/>
  <c r="T465" i="6" s="1"/>
  <c r="M386" i="8"/>
  <c r="P378" i="6" s="1"/>
  <c r="O378" i="6"/>
  <c r="M467" i="8"/>
  <c r="P457" i="6" s="1"/>
  <c r="O457" i="6"/>
  <c r="M373" i="8"/>
  <c r="P366" i="6" s="1"/>
  <c r="O366" i="6"/>
  <c r="T366" i="6" s="1"/>
  <c r="M441" i="8"/>
  <c r="P433" i="6" s="1"/>
  <c r="O433" i="6"/>
  <c r="M518" i="8"/>
  <c r="P508" i="6" s="1"/>
  <c r="O508" i="6"/>
  <c r="S108" i="6"/>
  <c r="S228" i="6"/>
  <c r="M172" i="6"/>
  <c r="M189" i="6"/>
  <c r="L14" i="5"/>
  <c r="M237" i="6"/>
  <c r="K8" i="5"/>
  <c r="E7" i="5"/>
  <c r="G68" i="1" s="1"/>
  <c r="C7" i="5"/>
  <c r="F68" i="1" s="1"/>
  <c r="D7" i="5"/>
  <c r="M393" i="6"/>
  <c r="T393" i="6"/>
  <c r="R393" i="6"/>
  <c r="L9" i="5" s="1"/>
  <c r="M259" i="6"/>
  <c r="S152" i="6"/>
  <c r="M152" i="6"/>
  <c r="S66" i="6"/>
  <c r="S77" i="6"/>
  <c r="S161" i="6"/>
  <c r="M161" i="6"/>
  <c r="S68" i="6"/>
  <c r="S266" i="6"/>
  <c r="S52" i="6"/>
  <c r="M52" i="6"/>
  <c r="S223" i="6"/>
  <c r="S268" i="6"/>
  <c r="S374" i="6"/>
  <c r="M82" i="6"/>
  <c r="S318" i="6"/>
  <c r="S284" i="6"/>
  <c r="S280" i="6"/>
  <c r="S231" i="6"/>
  <c r="S181" i="6"/>
  <c r="S316" i="6"/>
  <c r="S341" i="6"/>
  <c r="M341" i="6"/>
  <c r="S422" i="6"/>
  <c r="S407" i="6"/>
  <c r="S483" i="6"/>
  <c r="S516" i="6"/>
  <c r="M144" i="8"/>
  <c r="P140" i="6" s="1"/>
  <c r="O140" i="6"/>
  <c r="M124" i="8"/>
  <c r="P121" i="6" s="1"/>
  <c r="O121" i="6"/>
  <c r="T121" i="6" s="1"/>
  <c r="M8" i="8"/>
  <c r="P8" i="6" s="1"/>
  <c r="O8" i="6"/>
  <c r="M32" i="8"/>
  <c r="P32" i="6" s="1"/>
  <c r="O32" i="6"/>
  <c r="M93" i="8"/>
  <c r="P90" i="6" s="1"/>
  <c r="O90" i="6"/>
  <c r="T90" i="6" s="1"/>
  <c r="M158" i="8"/>
  <c r="P154" i="6" s="1"/>
  <c r="O154" i="6"/>
  <c r="T154" i="6" s="1"/>
  <c r="M161" i="8"/>
  <c r="P157" i="6" s="1"/>
  <c r="O157" i="6"/>
  <c r="M213" i="8"/>
  <c r="P207" i="6" s="1"/>
  <c r="O207" i="6"/>
  <c r="T207" i="6" s="1"/>
  <c r="M140" i="8"/>
  <c r="P136" i="6" s="1"/>
  <c r="O136" i="6"/>
  <c r="M106" i="8"/>
  <c r="P102" i="6" s="1"/>
  <c r="O102" i="6"/>
  <c r="M256" i="8"/>
  <c r="P251" i="6" s="1"/>
  <c r="O251" i="6"/>
  <c r="T251" i="6" s="1"/>
  <c r="M25" i="8"/>
  <c r="P25" i="6" s="1"/>
  <c r="O25" i="6"/>
  <c r="M87" i="8"/>
  <c r="P84" i="6" s="1"/>
  <c r="O84" i="6"/>
  <c r="M92" i="8"/>
  <c r="P89" i="6" s="1"/>
  <c r="O89" i="6"/>
  <c r="T89" i="6" s="1"/>
  <c r="M332" i="8"/>
  <c r="P324" i="6" s="1"/>
  <c r="O324" i="6"/>
  <c r="M165" i="8"/>
  <c r="P161" i="6" s="1"/>
  <c r="O161" i="6"/>
  <c r="M352" i="8"/>
  <c r="P346" i="6" s="1"/>
  <c r="O346" i="6"/>
  <c r="T346" i="6" s="1"/>
  <c r="M168" i="8"/>
  <c r="P164" i="6" s="1"/>
  <c r="O164" i="6"/>
  <c r="T164" i="6" s="1"/>
  <c r="M377" i="8"/>
  <c r="P370" i="6" s="1"/>
  <c r="O370" i="6"/>
  <c r="M235" i="8"/>
  <c r="P229" i="6" s="1"/>
  <c r="O229" i="6"/>
  <c r="T229" i="6" s="1"/>
  <c r="M171" i="8"/>
  <c r="P167" i="6" s="1"/>
  <c r="O167" i="6"/>
  <c r="M343" i="8"/>
  <c r="P334" i="6" s="1"/>
  <c r="O334" i="6"/>
  <c r="M358" i="8"/>
  <c r="P351" i="6" s="1"/>
  <c r="O351" i="6"/>
  <c r="T351" i="6" s="1"/>
  <c r="M288" i="8"/>
  <c r="P281" i="6" s="1"/>
  <c r="O281" i="6"/>
  <c r="T281" i="6" s="1"/>
  <c r="M329" i="8"/>
  <c r="P321" i="6" s="1"/>
  <c r="O321" i="6"/>
  <c r="M346" i="8"/>
  <c r="P337" i="6" s="1"/>
  <c r="O337" i="6"/>
  <c r="T337" i="6" s="1"/>
  <c r="M267" i="8"/>
  <c r="P261" i="6" s="1"/>
  <c r="O261" i="6"/>
  <c r="M291" i="8"/>
  <c r="P284" i="6" s="1"/>
  <c r="O284" i="6"/>
  <c r="M333" i="8"/>
  <c r="P325" i="6" s="1"/>
  <c r="O325" i="6"/>
  <c r="T325" i="6" s="1"/>
  <c r="M439" i="8"/>
  <c r="P431" i="6" s="1"/>
  <c r="O431" i="6"/>
  <c r="T431" i="6" s="1"/>
  <c r="M511" i="8"/>
  <c r="P501" i="6" s="1"/>
  <c r="O501" i="6"/>
  <c r="M425" i="8"/>
  <c r="P418" i="6" s="1"/>
  <c r="O418" i="6"/>
  <c r="T418" i="6" s="1"/>
  <c r="M514" i="8"/>
  <c r="P504" i="6" s="1"/>
  <c r="O504" i="6"/>
  <c r="M428" i="8"/>
  <c r="P421" i="6" s="1"/>
  <c r="O421" i="6"/>
  <c r="S421" i="6" s="1"/>
  <c r="M500" i="8"/>
  <c r="P490" i="6" s="1"/>
  <c r="O490" i="6"/>
  <c r="T490" i="6" s="1"/>
  <c r="M421" i="8"/>
  <c r="P414" i="6" s="1"/>
  <c r="O414" i="6"/>
  <c r="T414" i="6" s="1"/>
  <c r="M412" i="8"/>
  <c r="P405" i="6" s="1"/>
  <c r="O405" i="6"/>
  <c r="M491" i="8"/>
  <c r="P482" i="6" s="1"/>
  <c r="O482" i="6"/>
  <c r="T482" i="6" s="1"/>
  <c r="M393" i="8"/>
  <c r="P385" i="6" s="1"/>
  <c r="O385" i="6"/>
  <c r="M470" i="8"/>
  <c r="P460" i="6" s="1"/>
  <c r="O460" i="6"/>
  <c r="S460" i="6" s="1"/>
  <c r="M363" i="8"/>
  <c r="P356" i="6" s="1"/>
  <c r="O356" i="6"/>
  <c r="T356" i="6" s="1"/>
  <c r="S58" i="6"/>
  <c r="M58" i="6"/>
  <c r="S224" i="6"/>
  <c r="M9" i="6"/>
  <c r="B38" i="3"/>
  <c r="M55" i="6"/>
  <c r="M75" i="6"/>
  <c r="M203" i="6"/>
  <c r="L7" i="5"/>
  <c r="M199" i="6"/>
  <c r="M123" i="6"/>
  <c r="S190" i="6"/>
  <c r="M42" i="6"/>
  <c r="M124" i="6"/>
  <c r="M65" i="6"/>
  <c r="M77" i="6"/>
  <c r="S201" i="6"/>
  <c r="S115" i="6"/>
  <c r="S84" i="6"/>
  <c r="S248" i="6"/>
  <c r="S278" i="6"/>
  <c r="M307" i="6"/>
  <c r="S134" i="6"/>
  <c r="S88" i="6"/>
  <c r="S174" i="6"/>
  <c r="M174" i="6"/>
  <c r="S376" i="6"/>
  <c r="S314" i="6"/>
  <c r="S243" i="6"/>
  <c r="S187" i="6"/>
  <c r="M187" i="6"/>
  <c r="S399" i="6"/>
  <c r="S436" i="6"/>
  <c r="S338" i="6"/>
  <c r="S294" i="6"/>
  <c r="S405" i="6"/>
  <c r="M405" i="6"/>
  <c r="S445" i="6"/>
  <c r="S495" i="6"/>
  <c r="S426" i="6"/>
  <c r="S491" i="6"/>
  <c r="S522" i="6"/>
  <c r="S508" i="6"/>
  <c r="M152" i="8"/>
  <c r="P148" i="6" s="1"/>
  <c r="O148" i="6"/>
  <c r="T148" i="6" s="1"/>
  <c r="M139" i="8"/>
  <c r="P135" i="6" s="1"/>
  <c r="O135" i="6"/>
  <c r="M10" i="8"/>
  <c r="P10" i="6" s="1"/>
  <c r="O10" i="6"/>
  <c r="M34" i="8"/>
  <c r="P34" i="6" s="1"/>
  <c r="O34" i="6"/>
  <c r="T34" i="6" s="1"/>
  <c r="M105" i="8"/>
  <c r="P101" i="6" s="1"/>
  <c r="O101" i="6"/>
  <c r="M166" i="8"/>
  <c r="P162" i="6" s="1"/>
  <c r="O162" i="6"/>
  <c r="M169" i="8"/>
  <c r="P165" i="6" s="1"/>
  <c r="O165" i="6"/>
  <c r="T165" i="6" s="1"/>
  <c r="M242" i="8"/>
  <c r="P237" i="6" s="1"/>
  <c r="O237" i="6"/>
  <c r="S237" i="6" s="1"/>
  <c r="M148" i="8"/>
  <c r="P144" i="6" s="1"/>
  <c r="O144" i="6"/>
  <c r="S144" i="6" s="1"/>
  <c r="M118" i="8"/>
  <c r="P114" i="6" s="1"/>
  <c r="O114" i="6"/>
  <c r="T114" i="6" s="1"/>
  <c r="M312" i="8"/>
  <c r="P304" i="6" s="1"/>
  <c r="O304" i="6"/>
  <c r="M27" i="8"/>
  <c r="P27" i="6" s="1"/>
  <c r="O27" i="6"/>
  <c r="S27" i="6" s="1"/>
  <c r="M99" i="8"/>
  <c r="P96" i="6" s="1"/>
  <c r="O96" i="6"/>
  <c r="T96" i="6" s="1"/>
  <c r="M116" i="8"/>
  <c r="P112" i="6" s="1"/>
  <c r="O112" i="6"/>
  <c r="M356" i="8"/>
  <c r="P350" i="6" s="1"/>
  <c r="O350" i="6"/>
  <c r="M191" i="8"/>
  <c r="P186" i="6" s="1"/>
  <c r="O186" i="6"/>
  <c r="T186" i="6" s="1"/>
  <c r="M174" i="8"/>
  <c r="P170" i="6" s="1"/>
  <c r="O170" i="6"/>
  <c r="M181" i="8"/>
  <c r="P177" i="6" s="1"/>
  <c r="O177" i="6"/>
  <c r="M177" i="8"/>
  <c r="P173" i="6" s="1"/>
  <c r="O173" i="6"/>
  <c r="T173" i="6" s="1"/>
  <c r="M260" i="8"/>
  <c r="P255" i="6" s="1"/>
  <c r="O255" i="6"/>
  <c r="M182" i="8"/>
  <c r="P178" i="6" s="1"/>
  <c r="O178" i="6"/>
  <c r="M347" i="8"/>
  <c r="P338" i="6" s="1"/>
  <c r="O338" i="6"/>
  <c r="T338" i="6" s="1"/>
  <c r="M389" i="8"/>
  <c r="P381" i="6" s="1"/>
  <c r="O381" i="6"/>
  <c r="M290" i="8"/>
  <c r="P283" i="6" s="1"/>
  <c r="O283" i="6"/>
  <c r="M337" i="8"/>
  <c r="P328" i="6" s="1"/>
  <c r="O328" i="6"/>
  <c r="T328" i="6" s="1"/>
  <c r="M354" i="8"/>
  <c r="P348" i="6" s="1"/>
  <c r="O348" i="6"/>
  <c r="M269" i="8"/>
  <c r="P263" i="6" s="1"/>
  <c r="O263" i="6"/>
  <c r="M293" i="8"/>
  <c r="P286" i="6" s="1"/>
  <c r="O286" i="6"/>
  <c r="T286" i="6" s="1"/>
  <c r="M341" i="8"/>
  <c r="P332" i="6" s="1"/>
  <c r="O332" i="6"/>
  <c r="M444" i="8"/>
  <c r="P436" i="6" s="1"/>
  <c r="O436" i="6"/>
  <c r="M516" i="8"/>
  <c r="P506" i="6" s="1"/>
  <c r="O506" i="6"/>
  <c r="T506" i="6" s="1"/>
  <c r="M430" i="8"/>
  <c r="P423" i="6" s="1"/>
  <c r="O423" i="6"/>
  <c r="M521" i="8"/>
  <c r="P511" i="6" s="1"/>
  <c r="O511" i="6"/>
  <c r="S511" i="6" s="1"/>
  <c r="M435" i="8"/>
  <c r="P428" i="6" s="1"/>
  <c r="O428" i="6"/>
  <c r="T428" i="6" s="1"/>
  <c r="M507" i="8"/>
  <c r="P497" i="6" s="1"/>
  <c r="O497" i="6"/>
  <c r="M426" i="8"/>
  <c r="P419" i="6" s="1"/>
  <c r="O419" i="6"/>
  <c r="M505" i="8"/>
  <c r="P495" i="6" s="1"/>
  <c r="O495" i="6"/>
  <c r="T495" i="6" s="1"/>
  <c r="M424" i="8"/>
  <c r="P417" i="6" s="1"/>
  <c r="O417" i="6"/>
  <c r="M496" i="8"/>
  <c r="P487" i="6" s="1"/>
  <c r="O487" i="6"/>
  <c r="S487" i="6" s="1"/>
  <c r="M398" i="8"/>
  <c r="P390" i="6" s="1"/>
  <c r="O390" i="6"/>
  <c r="T390" i="6" s="1"/>
  <c r="M477" i="8"/>
  <c r="P468" i="6" s="1"/>
  <c r="O468" i="6"/>
  <c r="M365" i="8"/>
  <c r="P358" i="6" s="1"/>
  <c r="O358" i="6"/>
  <c r="S183" i="6"/>
  <c r="M38" i="6"/>
  <c r="M151" i="6"/>
  <c r="M84" i="6"/>
  <c r="M61" i="6"/>
  <c r="M326" i="6"/>
  <c r="M175" i="6"/>
  <c r="M335" i="6"/>
  <c r="M73" i="6"/>
  <c r="S43" i="6"/>
  <c r="M41" i="6"/>
  <c r="M173" i="6"/>
  <c r="M121" i="6"/>
  <c r="K14" i="5"/>
  <c r="M14" i="5" s="1"/>
  <c r="M67" i="6"/>
  <c r="S29" i="6"/>
  <c r="S265" i="6"/>
  <c r="M265" i="6"/>
  <c r="S85" i="6"/>
  <c r="S305" i="6"/>
  <c r="S72" i="6"/>
  <c r="S252" i="6"/>
  <c r="S146" i="6"/>
  <c r="S208" i="6"/>
  <c r="S476" i="6"/>
  <c r="S296" i="6"/>
  <c r="S470" i="6"/>
  <c r="M271" i="6"/>
  <c r="S271" i="6"/>
  <c r="S193" i="6"/>
  <c r="S360" i="6"/>
  <c r="M304" i="6"/>
  <c r="S300" i="6"/>
  <c r="S354" i="6"/>
  <c r="S427" i="6"/>
  <c r="M427" i="6"/>
  <c r="S392" i="6"/>
  <c r="S523" i="6"/>
  <c r="S408" i="6"/>
  <c r="S438" i="6"/>
  <c r="S419" i="6"/>
  <c r="S499" i="6"/>
  <c r="M432" i="6"/>
  <c r="S509" i="6"/>
  <c r="S482" i="6"/>
  <c r="S514" i="6"/>
  <c r="M160" i="8"/>
  <c r="P156" i="6" s="1"/>
  <c r="O156" i="6"/>
  <c r="T156" i="6" s="1"/>
  <c r="M147" i="8"/>
  <c r="P143" i="6" s="1"/>
  <c r="O143" i="6"/>
  <c r="T143" i="6" s="1"/>
  <c r="M12" i="8"/>
  <c r="P12" i="6" s="1"/>
  <c r="O12" i="6"/>
  <c r="T12" i="6" s="1"/>
  <c r="M36" i="8"/>
  <c r="P36" i="6" s="1"/>
  <c r="O36" i="6"/>
  <c r="M117" i="8"/>
  <c r="P113" i="6" s="1"/>
  <c r="O113" i="6"/>
  <c r="T113" i="6" s="1"/>
  <c r="M233" i="8"/>
  <c r="P227" i="6" s="1"/>
  <c r="O227" i="6"/>
  <c r="M179" i="8"/>
  <c r="P175" i="6" s="1"/>
  <c r="O175" i="6"/>
  <c r="T175" i="6" s="1"/>
  <c r="M316" i="8"/>
  <c r="P308" i="6" s="1"/>
  <c r="O308" i="6"/>
  <c r="T308" i="6" s="1"/>
  <c r="M156" i="8"/>
  <c r="P152" i="6" s="1"/>
  <c r="O152" i="6"/>
  <c r="T152" i="6" s="1"/>
  <c r="M130" i="8"/>
  <c r="P127" i="6" s="1"/>
  <c r="O127" i="6"/>
  <c r="S127" i="6" s="1"/>
  <c r="M5" i="8"/>
  <c r="P5" i="6" s="1"/>
  <c r="F20" i="5"/>
  <c r="O5" i="6"/>
  <c r="M29" i="8"/>
  <c r="P29" i="6" s="1"/>
  <c r="O29" i="6"/>
  <c r="M111" i="8"/>
  <c r="P107" i="6" s="1"/>
  <c r="O107" i="6"/>
  <c r="T107" i="6" s="1"/>
  <c r="M128" i="8"/>
  <c r="P125" i="6" s="1"/>
  <c r="O125" i="6"/>
  <c r="M56" i="8"/>
  <c r="P54" i="6" s="1"/>
  <c r="O54" i="6"/>
  <c r="M54" i="8"/>
  <c r="P52" i="6" s="1"/>
  <c r="O52" i="6"/>
  <c r="T52" i="6" s="1"/>
  <c r="M187" i="8"/>
  <c r="P182" i="6" s="1"/>
  <c r="O182" i="6"/>
  <c r="T182" i="6" s="1"/>
  <c r="M192" i="8"/>
  <c r="P187" i="6" s="1"/>
  <c r="O187" i="6"/>
  <c r="M188" i="8"/>
  <c r="P183" i="6" s="1"/>
  <c r="O183" i="6"/>
  <c r="T183" i="6" s="1"/>
  <c r="M173" i="8"/>
  <c r="P169" i="6" s="1"/>
  <c r="O169" i="6"/>
  <c r="M206" i="8"/>
  <c r="P200" i="6" s="1"/>
  <c r="O200" i="6"/>
  <c r="M351" i="8"/>
  <c r="P345" i="6" s="1"/>
  <c r="O345" i="6"/>
  <c r="T345" i="6" s="1"/>
  <c r="M264" i="8"/>
  <c r="P258" i="6" s="1"/>
  <c r="O258" i="6"/>
  <c r="M292" i="8"/>
  <c r="P285" i="6" s="1"/>
  <c r="O285" i="6"/>
  <c r="S285" i="6" s="1"/>
  <c r="M345" i="8"/>
  <c r="P336" i="6" s="1"/>
  <c r="O336" i="6"/>
  <c r="T336" i="6" s="1"/>
  <c r="M372" i="8"/>
  <c r="P365" i="6" s="1"/>
  <c r="O365" i="6"/>
  <c r="M271" i="8"/>
  <c r="P265" i="6" s="1"/>
  <c r="O265" i="6"/>
  <c r="M295" i="8"/>
  <c r="P288" i="6" s="1"/>
  <c r="O288" i="6"/>
  <c r="T288" i="6" s="1"/>
  <c r="M349" i="8"/>
  <c r="P343" i="6" s="1"/>
  <c r="U343" i="6" s="1"/>
  <c r="O343" i="6"/>
  <c r="S343" i="6" s="1"/>
  <c r="M451" i="8"/>
  <c r="P443" i="6" s="1"/>
  <c r="O443" i="6"/>
  <c r="M523" i="8"/>
  <c r="P513" i="6" s="1"/>
  <c r="O513" i="6"/>
  <c r="T513" i="6" s="1"/>
  <c r="M442" i="8"/>
  <c r="P434" i="6" s="1"/>
  <c r="O434" i="6"/>
  <c r="S434" i="6" s="1"/>
  <c r="M533" i="8"/>
  <c r="P522" i="6" s="1"/>
  <c r="O522" i="6"/>
  <c r="M440" i="8"/>
  <c r="P432" i="6" s="1"/>
  <c r="O432" i="6"/>
  <c r="T432" i="6" s="1"/>
  <c r="M512" i="8"/>
  <c r="P502" i="6" s="1"/>
  <c r="O502" i="6"/>
  <c r="M433" i="8"/>
  <c r="P426" i="6" s="1"/>
  <c r="O426" i="6"/>
  <c r="M510" i="8"/>
  <c r="P500" i="6" s="1"/>
  <c r="O500" i="6"/>
  <c r="T500" i="6" s="1"/>
  <c r="M431" i="8"/>
  <c r="P424" i="6" s="1"/>
  <c r="O424" i="6"/>
  <c r="M503" i="8"/>
  <c r="P493" i="6" s="1"/>
  <c r="O493" i="6"/>
  <c r="M405" i="8"/>
  <c r="P398" i="6" s="1"/>
  <c r="O398" i="6"/>
  <c r="T398" i="6" s="1"/>
  <c r="M482" i="8"/>
  <c r="P473" i="6" s="1"/>
  <c r="O473" i="6"/>
  <c r="M367" i="8"/>
  <c r="P360" i="6" s="1"/>
  <c r="O360" i="6"/>
  <c r="M100" i="6"/>
  <c r="R100" i="6"/>
  <c r="S51" i="6"/>
  <c r="M194" i="6"/>
  <c r="S61" i="6"/>
  <c r="M27" i="6"/>
  <c r="M88" i="6"/>
  <c r="D77" i="1"/>
  <c r="F19" i="5"/>
  <c r="C7" i="1"/>
  <c r="S216" i="6"/>
  <c r="S158" i="6"/>
  <c r="S311" i="6"/>
  <c r="S207" i="6"/>
  <c r="M207" i="6"/>
  <c r="M310" i="6"/>
  <c r="S457" i="6"/>
  <c r="S346" i="6"/>
  <c r="S362" i="6"/>
  <c r="S396" i="6"/>
  <c r="M412" i="6"/>
  <c r="S412" i="6"/>
  <c r="S430" i="6"/>
  <c r="S458" i="6"/>
  <c r="S425" i="6"/>
  <c r="S513" i="6"/>
  <c r="S447" i="6"/>
  <c r="S488" i="6"/>
  <c r="M218" i="8"/>
  <c r="P212" i="6" s="1"/>
  <c r="O212" i="6"/>
  <c r="T212" i="6" s="1"/>
  <c r="M155" i="8"/>
  <c r="P151" i="6" s="1"/>
  <c r="O151" i="6"/>
  <c r="M14" i="8"/>
  <c r="P14" i="6" s="1"/>
  <c r="O14" i="6"/>
  <c r="T14" i="6" s="1"/>
  <c r="M38" i="8"/>
  <c r="P38" i="6" s="1"/>
  <c r="O38" i="6"/>
  <c r="M129" i="8"/>
  <c r="P126" i="6" s="1"/>
  <c r="O126" i="6"/>
  <c r="T126" i="6" s="1"/>
  <c r="M344" i="8"/>
  <c r="P335" i="6" s="1"/>
  <c r="O335" i="6"/>
  <c r="T335" i="6" s="1"/>
  <c r="M189" i="8"/>
  <c r="P184" i="6" s="1"/>
  <c r="O184" i="6"/>
  <c r="T184" i="6" s="1"/>
  <c r="M340" i="8"/>
  <c r="P331" i="6" s="1"/>
  <c r="O331" i="6"/>
  <c r="M164" i="8"/>
  <c r="P160" i="6" s="1"/>
  <c r="O160" i="6"/>
  <c r="T160" i="6" s="1"/>
  <c r="M135" i="8"/>
  <c r="P131" i="6" s="1"/>
  <c r="O131" i="6"/>
  <c r="M7" i="8"/>
  <c r="P7" i="6" s="1"/>
  <c r="O7" i="6"/>
  <c r="M31" i="8"/>
  <c r="P31" i="6" s="1"/>
  <c r="O31" i="6"/>
  <c r="T31" i="6" s="1"/>
  <c r="M123" i="8"/>
  <c r="P120" i="6" s="1"/>
  <c r="O120" i="6"/>
  <c r="T120" i="6" s="1"/>
  <c r="M138" i="8"/>
  <c r="P134" i="6" s="1"/>
  <c r="O134" i="6"/>
  <c r="M67" i="8"/>
  <c r="P64" i="6" s="1"/>
  <c r="O64" i="6"/>
  <c r="T64" i="6" s="1"/>
  <c r="M65" i="8"/>
  <c r="P62" i="6" s="1"/>
  <c r="O62" i="6"/>
  <c r="M198" i="8"/>
  <c r="P192" i="6" s="1"/>
  <c r="O192" i="6"/>
  <c r="T192" i="6" s="1"/>
  <c r="M205" i="8"/>
  <c r="P199" i="6" s="1"/>
  <c r="O199" i="6"/>
  <c r="T199" i="6" s="1"/>
  <c r="M201" i="8"/>
  <c r="P195" i="6" s="1"/>
  <c r="O195" i="6"/>
  <c r="T195" i="6" s="1"/>
  <c r="M184" i="8"/>
  <c r="P180" i="6" s="1"/>
  <c r="O180" i="6"/>
  <c r="M219" i="8"/>
  <c r="P213" i="6" s="1"/>
  <c r="O213" i="6"/>
  <c r="T213" i="6" s="1"/>
  <c r="M355" i="8"/>
  <c r="P349" i="6" s="1"/>
  <c r="O349" i="6"/>
  <c r="M266" i="8"/>
  <c r="P260" i="6" s="1"/>
  <c r="O260" i="6"/>
  <c r="T260" i="6" s="1"/>
  <c r="M294" i="8"/>
  <c r="P287" i="6" s="1"/>
  <c r="O287" i="6"/>
  <c r="T287" i="6" s="1"/>
  <c r="M353" i="8"/>
  <c r="P347" i="6" s="1"/>
  <c r="O347" i="6"/>
  <c r="T347" i="6" s="1"/>
  <c r="M376" i="8"/>
  <c r="P369" i="6" s="1"/>
  <c r="O369" i="6"/>
  <c r="M273" i="8"/>
  <c r="P267" i="6" s="1"/>
  <c r="O267" i="6"/>
  <c r="T267" i="6" s="1"/>
  <c r="M297" i="8"/>
  <c r="P290" i="6" s="1"/>
  <c r="O290" i="6"/>
  <c r="M378" i="8"/>
  <c r="P371" i="6" s="1"/>
  <c r="O371" i="6"/>
  <c r="T371" i="6" s="1"/>
  <c r="M456" i="8"/>
  <c r="P448" i="6" s="1"/>
  <c r="O448" i="6"/>
  <c r="T448" i="6" s="1"/>
  <c r="M528" i="8"/>
  <c r="P517" i="6" s="1"/>
  <c r="O517" i="6"/>
  <c r="T517" i="6" s="1"/>
  <c r="M449" i="8"/>
  <c r="P441" i="6" s="1"/>
  <c r="O441" i="6"/>
  <c r="M385" i="8"/>
  <c r="P377" i="6" s="1"/>
  <c r="O377" i="6"/>
  <c r="T377" i="6" s="1"/>
  <c r="M447" i="8"/>
  <c r="P439" i="6" s="1"/>
  <c r="O439" i="6"/>
  <c r="M524" i="8"/>
  <c r="P514" i="6" s="1"/>
  <c r="O514" i="6"/>
  <c r="T514" i="6" s="1"/>
  <c r="M517" i="8"/>
  <c r="P507" i="6" s="1"/>
  <c r="O507" i="6"/>
  <c r="T507" i="6" s="1"/>
  <c r="M436" i="8"/>
  <c r="P429" i="6" s="1"/>
  <c r="O429" i="6"/>
  <c r="T429" i="6" s="1"/>
  <c r="M508" i="8"/>
  <c r="P498" i="6" s="1"/>
  <c r="O498" i="6"/>
  <c r="M410" i="8"/>
  <c r="P403" i="6" s="1"/>
  <c r="O403" i="6"/>
  <c r="T403" i="6" s="1"/>
  <c r="M489" i="8"/>
  <c r="P480" i="6" s="1"/>
  <c r="O480" i="6"/>
  <c r="M369" i="8"/>
  <c r="P362" i="6" s="1"/>
  <c r="O362" i="6"/>
  <c r="T362" i="6" s="1"/>
  <c r="S59" i="6"/>
  <c r="M59" i="6"/>
  <c r="M21" i="6"/>
  <c r="M186" i="6"/>
  <c r="M212" i="6"/>
  <c r="M279" i="6"/>
  <c r="S126" i="6"/>
  <c r="S239" i="6"/>
  <c r="S32" i="6"/>
  <c r="S31" i="6"/>
  <c r="S21" i="6"/>
  <c r="S20" i="6"/>
  <c r="M184" i="6"/>
  <c r="K15" i="5"/>
  <c r="M15" i="5" s="1"/>
  <c r="S302" i="6"/>
  <c r="S138" i="6"/>
  <c r="S327" i="6"/>
  <c r="S97" i="6"/>
  <c r="S198" i="6"/>
  <c r="S131" i="6"/>
  <c r="S328" i="6"/>
  <c r="S106" i="6"/>
  <c r="M106" i="6"/>
  <c r="S235" i="6"/>
  <c r="M235" i="6"/>
  <c r="S214" i="6"/>
  <c r="F56" i="1" s="1"/>
  <c r="S218" i="6"/>
  <c r="S287" i="6"/>
  <c r="S209" i="6"/>
  <c r="S309" i="6"/>
  <c r="S319" i="6"/>
  <c r="S322" i="6"/>
  <c r="S364" i="6"/>
  <c r="S384" i="6"/>
  <c r="S437" i="6"/>
  <c r="S423" i="6"/>
  <c r="S463" i="6"/>
  <c r="S475" i="6"/>
  <c r="S431" i="6"/>
  <c r="S517" i="6"/>
  <c r="S494" i="6"/>
  <c r="M52" i="8"/>
  <c r="P50" i="6" s="1"/>
  <c r="O50" i="6"/>
  <c r="M236" i="8"/>
  <c r="P230" i="6" s="1"/>
  <c r="O230" i="6"/>
  <c r="M163" i="8"/>
  <c r="P159" i="6" s="1"/>
  <c r="O159" i="6"/>
  <c r="T159" i="6" s="1"/>
  <c r="M16" i="8"/>
  <c r="P16" i="6" s="1"/>
  <c r="O16" i="6"/>
  <c r="M40" i="8"/>
  <c r="P40" i="6" s="1"/>
  <c r="O40" i="6"/>
  <c r="S40" i="6" s="1"/>
  <c r="M70" i="8"/>
  <c r="P67" i="6" s="1"/>
  <c r="O67" i="6"/>
  <c r="T67" i="6" s="1"/>
  <c r="M55" i="8"/>
  <c r="P53" i="6" s="1"/>
  <c r="O53" i="6"/>
  <c r="M53" i="8"/>
  <c r="P51" i="6" s="1"/>
  <c r="O51" i="6"/>
  <c r="M366" i="8"/>
  <c r="P359" i="6" s="1"/>
  <c r="O359" i="6"/>
  <c r="T359" i="6" s="1"/>
  <c r="M176" i="8"/>
  <c r="P172" i="6" s="1"/>
  <c r="O172" i="6"/>
  <c r="M143" i="8"/>
  <c r="P139" i="6" s="1"/>
  <c r="O139" i="6"/>
  <c r="M9" i="8"/>
  <c r="P9" i="6" s="1"/>
  <c r="O9" i="6"/>
  <c r="T9" i="6" s="1"/>
  <c r="M33" i="8"/>
  <c r="P33" i="6" s="1"/>
  <c r="O33" i="6"/>
  <c r="M200" i="8"/>
  <c r="P194" i="6" s="1"/>
  <c r="O194" i="6"/>
  <c r="M146" i="8"/>
  <c r="P142" i="6" s="1"/>
  <c r="O142" i="6"/>
  <c r="M85" i="8"/>
  <c r="P82" i="6" s="1"/>
  <c r="O82" i="6"/>
  <c r="M78" i="8"/>
  <c r="P75" i="6" s="1"/>
  <c r="O75" i="6"/>
  <c r="S75" i="6" s="1"/>
  <c r="M211" i="8"/>
  <c r="P205" i="6" s="1"/>
  <c r="O205" i="6"/>
  <c r="T205" i="6" s="1"/>
  <c r="M216" i="8"/>
  <c r="P210" i="6" s="1"/>
  <c r="O210" i="6"/>
  <c r="M212" i="8"/>
  <c r="P206" i="6" s="1"/>
  <c r="O206" i="6"/>
  <c r="M197" i="8"/>
  <c r="P191" i="6" s="1"/>
  <c r="O191" i="6"/>
  <c r="T191" i="6" s="1"/>
  <c r="M311" i="8"/>
  <c r="P303" i="6" s="1"/>
  <c r="O303" i="6"/>
  <c r="M360" i="8"/>
  <c r="P353" i="6" s="1"/>
  <c r="O353" i="6"/>
  <c r="S353" i="6" s="1"/>
  <c r="M268" i="8"/>
  <c r="P262" i="6" s="1"/>
  <c r="O262" i="6"/>
  <c r="T262" i="6" s="1"/>
  <c r="M296" i="8"/>
  <c r="P289" i="6" s="1"/>
  <c r="O289" i="6"/>
  <c r="S289" i="6" s="1"/>
  <c r="M364" i="8"/>
  <c r="P357" i="6" s="1"/>
  <c r="O357" i="6"/>
  <c r="M251" i="8"/>
  <c r="P246" i="6" s="1"/>
  <c r="O246" i="6"/>
  <c r="T246" i="6" s="1"/>
  <c r="M275" i="8"/>
  <c r="P269" i="6" s="1"/>
  <c r="O269" i="6"/>
  <c r="M299" i="8"/>
  <c r="P292" i="6" s="1"/>
  <c r="O292" i="6"/>
  <c r="S292" i="6" s="1"/>
  <c r="M391" i="8"/>
  <c r="P383" i="6" s="1"/>
  <c r="O383" i="6"/>
  <c r="T383" i="6" s="1"/>
  <c r="M463" i="8"/>
  <c r="P454" i="6" s="1"/>
  <c r="O454" i="6"/>
  <c r="M535" i="8"/>
  <c r="P524" i="6" s="1"/>
  <c r="U524" i="6" s="1"/>
  <c r="O524" i="6"/>
  <c r="S524" i="6" s="1"/>
  <c r="M454" i="8"/>
  <c r="P446" i="6" s="1"/>
  <c r="O446" i="6"/>
  <c r="T446" i="6" s="1"/>
  <c r="M370" i="8"/>
  <c r="P363" i="6" s="1"/>
  <c r="O363" i="6"/>
  <c r="M452" i="8"/>
  <c r="P444" i="6" s="1"/>
  <c r="O444" i="6"/>
  <c r="M531" i="8"/>
  <c r="P520" i="6" s="1"/>
  <c r="O520" i="6"/>
  <c r="T520" i="6" s="1"/>
  <c r="M445" i="8"/>
  <c r="P437" i="6" s="1"/>
  <c r="O437" i="6"/>
  <c r="M522" i="8"/>
  <c r="P512" i="6" s="1"/>
  <c r="O512" i="6"/>
  <c r="M443" i="8"/>
  <c r="P435" i="6" s="1"/>
  <c r="O435" i="6"/>
  <c r="T435" i="6" s="1"/>
  <c r="M515" i="8"/>
  <c r="P505" i="6" s="1"/>
  <c r="O505" i="6"/>
  <c r="T505" i="6" s="1"/>
  <c r="M417" i="8"/>
  <c r="P410" i="6" s="1"/>
  <c r="O410" i="6"/>
  <c r="S410" i="6" s="1"/>
  <c r="M494" i="8"/>
  <c r="P485" i="6" s="1"/>
  <c r="O485" i="6"/>
  <c r="T485" i="6" s="1"/>
  <c r="M537" i="8"/>
  <c r="P526" i="6" s="1"/>
  <c r="U526" i="6" s="1"/>
  <c r="O526" i="6"/>
  <c r="S526" i="6" s="1"/>
  <c r="S154" i="6"/>
  <c r="S102" i="6"/>
  <c r="M29" i="6"/>
  <c r="M96" i="6"/>
  <c r="M22" i="6"/>
  <c r="M49" i="6"/>
  <c r="M51" i="6"/>
  <c r="M31" i="6"/>
  <c r="S45" i="6"/>
  <c r="M45" i="6"/>
  <c r="S233" i="6"/>
  <c r="M23" i="6"/>
  <c r="S23" i="6"/>
  <c r="S92" i="6"/>
  <c r="M92" i="6"/>
  <c r="M14" i="6"/>
  <c r="S104" i="6"/>
  <c r="M110" i="6"/>
  <c r="S166" i="6"/>
  <c r="S57" i="6"/>
  <c r="S79" i="6"/>
  <c r="S63" i="6"/>
  <c r="S153" i="6"/>
  <c r="S89" i="6"/>
  <c r="S10" i="6"/>
  <c r="M10" i="6"/>
  <c r="S98" i="6"/>
  <c r="S200" i="6"/>
  <c r="S143" i="6"/>
  <c r="S352" i="6"/>
  <c r="S254" i="6"/>
  <c r="S112" i="6"/>
  <c r="S236" i="6"/>
  <c r="S330" i="6"/>
  <c r="M330" i="6"/>
  <c r="S230" i="6"/>
  <c r="S210" i="6"/>
  <c r="S331" i="6"/>
  <c r="S348" i="6"/>
  <c r="S365" i="6"/>
  <c r="S323" i="6"/>
  <c r="S398" i="6"/>
  <c r="S424" i="6"/>
  <c r="M333" i="6"/>
  <c r="S444" i="6"/>
  <c r="S443" i="6"/>
  <c r="S454" i="6"/>
  <c r="S459" i="6"/>
  <c r="S500" i="6"/>
  <c r="M63" i="8"/>
  <c r="P60" i="6" s="1"/>
  <c r="O60" i="6"/>
  <c r="M258" i="8"/>
  <c r="P253" i="6" s="1"/>
  <c r="O253" i="6"/>
  <c r="S253" i="6" s="1"/>
  <c r="M202" i="8"/>
  <c r="P196" i="6" s="1"/>
  <c r="O196" i="6"/>
  <c r="T196" i="6" s="1"/>
  <c r="M18" i="8"/>
  <c r="P18" i="6" s="1"/>
  <c r="O18" i="6"/>
  <c r="M42" i="8"/>
  <c r="P41" i="6" s="1"/>
  <c r="O41" i="6"/>
  <c r="S41" i="6" s="1"/>
  <c r="M86" i="8"/>
  <c r="P83" i="6" s="1"/>
  <c r="O83" i="6"/>
  <c r="T83" i="6" s="1"/>
  <c r="M68" i="8"/>
  <c r="P65" i="6" s="1"/>
  <c r="O65" i="6"/>
  <c r="S65" i="6" s="1"/>
  <c r="M66" i="8"/>
  <c r="P63" i="6" s="1"/>
  <c r="O63" i="6"/>
  <c r="M51" i="8"/>
  <c r="P49" i="6" s="1"/>
  <c r="O49" i="6"/>
  <c r="T49" i="6" s="1"/>
  <c r="M193" i="8"/>
  <c r="P188" i="6" s="1"/>
  <c r="O188" i="6"/>
  <c r="M151" i="8"/>
  <c r="P147" i="6" s="1"/>
  <c r="U147" i="6" s="1"/>
  <c r="O147" i="6"/>
  <c r="S147" i="6" s="1"/>
  <c r="M11" i="8"/>
  <c r="P11" i="6" s="1"/>
  <c r="O11" i="6"/>
  <c r="T11" i="6" s="1"/>
  <c r="M35" i="8"/>
  <c r="P35" i="6" s="1"/>
  <c r="O35" i="6"/>
  <c r="M214" i="8"/>
  <c r="P208" i="6" s="1"/>
  <c r="O208" i="6"/>
  <c r="M154" i="8"/>
  <c r="P150" i="6" s="1"/>
  <c r="O150" i="6"/>
  <c r="T150" i="6" s="1"/>
  <c r="M97" i="8"/>
  <c r="P94" i="6" s="1"/>
  <c r="O94" i="6"/>
  <c r="M90" i="8"/>
  <c r="P87" i="6" s="1"/>
  <c r="O87" i="6"/>
  <c r="S87" i="6" s="1"/>
  <c r="M222" i="8"/>
  <c r="P217" i="6" s="1"/>
  <c r="O217" i="6"/>
  <c r="T217" i="6" s="1"/>
  <c r="M227" i="8"/>
  <c r="P222" i="6" s="1"/>
  <c r="O222" i="6"/>
  <c r="M225" i="8"/>
  <c r="P220" i="6" s="1"/>
  <c r="O220" i="6"/>
  <c r="M208" i="8"/>
  <c r="P202" i="6" s="1"/>
  <c r="O202" i="6"/>
  <c r="T202" i="6" s="1"/>
  <c r="M315" i="8"/>
  <c r="P307" i="6" s="1"/>
  <c r="O307" i="6"/>
  <c r="M388" i="8"/>
  <c r="P380" i="6" s="1"/>
  <c r="O380" i="6"/>
  <c r="S380" i="6" s="1"/>
  <c r="M270" i="8"/>
  <c r="P264" i="6" s="1"/>
  <c r="O264" i="6"/>
  <c r="T264" i="6" s="1"/>
  <c r="M298" i="8"/>
  <c r="P291" i="6" s="1"/>
  <c r="O291" i="6"/>
  <c r="M381" i="8"/>
  <c r="P373" i="6" s="1"/>
  <c r="O373" i="6"/>
  <c r="M253" i="8"/>
  <c r="P248" i="6" s="1"/>
  <c r="O248" i="6"/>
  <c r="T248" i="6" s="1"/>
  <c r="M277" i="8"/>
  <c r="P270" i="6" s="1"/>
  <c r="O270" i="6"/>
  <c r="T270" i="6" s="1"/>
  <c r="M301" i="8"/>
  <c r="P294" i="6" s="1"/>
  <c r="O294" i="6"/>
  <c r="M396" i="8"/>
  <c r="P388" i="6" s="1"/>
  <c r="O388" i="6"/>
  <c r="T388" i="6" s="1"/>
  <c r="M468" i="8"/>
  <c r="P458" i="6" s="1"/>
  <c r="O458" i="6"/>
  <c r="M374" i="8"/>
  <c r="P367" i="6" s="1"/>
  <c r="O367" i="6"/>
  <c r="M461" i="8"/>
  <c r="P452" i="6" s="1"/>
  <c r="O452" i="6"/>
  <c r="T452" i="6" s="1"/>
  <c r="M383" i="8"/>
  <c r="P375" i="6" s="1"/>
  <c r="O375" i="6"/>
  <c r="T375" i="6" s="1"/>
  <c r="M459" i="8"/>
  <c r="P450" i="6" s="1"/>
  <c r="O450" i="6"/>
  <c r="S450" i="6" s="1"/>
  <c r="M536" i="8"/>
  <c r="P525" i="6" s="1"/>
  <c r="U525" i="6" s="1"/>
  <c r="O525" i="6"/>
  <c r="S525" i="6" s="1"/>
  <c r="M450" i="8"/>
  <c r="P442" i="6" s="1"/>
  <c r="O442" i="6"/>
  <c r="M529" i="8"/>
  <c r="P518" i="6" s="1"/>
  <c r="O518" i="6"/>
  <c r="M448" i="8"/>
  <c r="P440" i="6" s="1"/>
  <c r="O440" i="6"/>
  <c r="T440" i="6" s="1"/>
  <c r="M520" i="8"/>
  <c r="P510" i="6" s="1"/>
  <c r="O510" i="6"/>
  <c r="M422" i="8"/>
  <c r="P415" i="6" s="1"/>
  <c r="O415" i="6"/>
  <c r="M501" i="8"/>
  <c r="P491" i="6" s="1"/>
  <c r="O491" i="6"/>
  <c r="T491" i="6" s="1"/>
  <c r="S234" i="6"/>
  <c r="M234" i="6"/>
  <c r="S151" i="6"/>
  <c r="S80" i="6"/>
  <c r="M36" i="6"/>
  <c r="S48" i="6"/>
  <c r="S74" i="6"/>
  <c r="M89" i="6"/>
  <c r="M20" i="6"/>
  <c r="M39" i="6"/>
  <c r="L5" i="5"/>
  <c r="F25" i="5"/>
  <c r="T320" i="6" l="1"/>
  <c r="S320" i="6"/>
  <c r="T18" i="6"/>
  <c r="S18" i="6"/>
  <c r="T378" i="6"/>
  <c r="S378" i="6"/>
  <c r="T394" i="6"/>
  <c r="S394" i="6"/>
  <c r="T306" i="6"/>
  <c r="S306" i="6"/>
  <c r="T247" i="6"/>
  <c r="S247" i="6"/>
  <c r="T93" i="6"/>
  <c r="S93" i="6"/>
  <c r="T71" i="6"/>
  <c r="S71" i="6"/>
  <c r="T453" i="6"/>
  <c r="S453" i="6"/>
  <c r="T466" i="6"/>
  <c r="S466" i="6"/>
  <c r="T293" i="6"/>
  <c r="S293" i="6"/>
  <c r="T456" i="6"/>
  <c r="S456" i="6"/>
  <c r="Z16" i="7"/>
  <c r="H74" i="1"/>
  <c r="U13" i="5"/>
  <c r="J74" i="1" s="1"/>
  <c r="S270" i="6"/>
  <c r="S375" i="6"/>
  <c r="T94" i="6"/>
  <c r="S94" i="6"/>
  <c r="T363" i="6"/>
  <c r="S363" i="6"/>
  <c r="Q9" i="5" s="1"/>
  <c r="T269" i="6"/>
  <c r="S269" i="6"/>
  <c r="T303" i="6"/>
  <c r="S303" i="6"/>
  <c r="T82" i="6"/>
  <c r="S82" i="6"/>
  <c r="T172" i="6"/>
  <c r="S172" i="6"/>
  <c r="T16" i="6"/>
  <c r="S16" i="6"/>
  <c r="N12" i="5"/>
  <c r="T211" i="6"/>
  <c r="S211" i="6"/>
  <c r="T510" i="6"/>
  <c r="S510" i="6"/>
  <c r="T188" i="6"/>
  <c r="S188" i="6"/>
  <c r="S182" i="6"/>
  <c r="T427" i="6"/>
  <c r="T461" i="6"/>
  <c r="S461" i="6"/>
  <c r="T298" i="6"/>
  <c r="S298" i="6"/>
  <c r="T310" i="6"/>
  <c r="T110" i="6"/>
  <c r="S110" i="6"/>
  <c r="T163" i="6"/>
  <c r="S163" i="6"/>
  <c r="T44" i="6"/>
  <c r="S44" i="6"/>
  <c r="T78" i="6"/>
  <c r="S78" i="6"/>
  <c r="T307" i="6"/>
  <c r="S307" i="6"/>
  <c r="N14" i="5"/>
  <c r="P14" i="5" s="1"/>
  <c r="T385" i="6"/>
  <c r="S385" i="6"/>
  <c r="T504" i="6"/>
  <c r="S504" i="6"/>
  <c r="T261" i="6"/>
  <c r="S261" i="6"/>
  <c r="T167" i="6"/>
  <c r="S167" i="6"/>
  <c r="T324" i="6"/>
  <c r="S324" i="6"/>
  <c r="T136" i="6"/>
  <c r="S136" i="6"/>
  <c r="T8" i="6"/>
  <c r="S8" i="6"/>
  <c r="Y16" i="7"/>
  <c r="AM16" i="7"/>
  <c r="T349" i="6"/>
  <c r="S349" i="6"/>
  <c r="T62" i="6"/>
  <c r="S62" i="6"/>
  <c r="T131" i="6"/>
  <c r="T38" i="6"/>
  <c r="S38" i="6"/>
  <c r="N6" i="5"/>
  <c r="P6" i="5" s="1"/>
  <c r="T486" i="6"/>
  <c r="S486" i="6"/>
  <c r="T480" i="6"/>
  <c r="S480" i="6"/>
  <c r="T515" i="6"/>
  <c r="S515" i="6"/>
  <c r="T395" i="6"/>
  <c r="S395" i="6"/>
  <c r="T413" i="6"/>
  <c r="S413" i="6"/>
  <c r="T275" i="6"/>
  <c r="S275" i="6"/>
  <c r="T215" i="6"/>
  <c r="S215" i="6"/>
  <c r="T19" i="6"/>
  <c r="S19" i="6"/>
  <c r="T130" i="6"/>
  <c r="S130" i="6"/>
  <c r="T439" i="6"/>
  <c r="S439" i="6"/>
  <c r="T227" i="6"/>
  <c r="S227" i="6"/>
  <c r="T468" i="6"/>
  <c r="R10" i="5" s="1"/>
  <c r="S468" i="6"/>
  <c r="T497" i="6"/>
  <c r="S497" i="6"/>
  <c r="T332" i="6"/>
  <c r="S332" i="6"/>
  <c r="T381" i="6"/>
  <c r="S381" i="6"/>
  <c r="T170" i="6"/>
  <c r="S170" i="6"/>
  <c r="T304" i="6"/>
  <c r="S304" i="6"/>
  <c r="T101" i="6"/>
  <c r="S101" i="6"/>
  <c r="O6" i="5"/>
  <c r="S505" i="6"/>
  <c r="T344" i="6"/>
  <c r="S344" i="6"/>
  <c r="T290" i="6"/>
  <c r="S290" i="6"/>
  <c r="S317" i="6"/>
  <c r="T473" i="6"/>
  <c r="S473" i="6"/>
  <c r="T502" i="6"/>
  <c r="S502" i="6"/>
  <c r="T258" i="6"/>
  <c r="S258" i="6"/>
  <c r="T5" i="6"/>
  <c r="S5" i="6"/>
  <c r="T402" i="6"/>
  <c r="S402" i="6"/>
  <c r="T420" i="6"/>
  <c r="S420" i="6"/>
  <c r="T333" i="6"/>
  <c r="S333" i="6"/>
  <c r="T185" i="6"/>
  <c r="R15" i="5" s="1"/>
  <c r="S185" i="6"/>
  <c r="T69" i="6"/>
  <c r="S69" i="6"/>
  <c r="O11" i="5"/>
  <c r="AB13" i="7"/>
  <c r="R11" i="4"/>
  <c r="T47" i="6"/>
  <c r="S47" i="6"/>
  <c r="O13" i="5"/>
  <c r="S336" i="6"/>
  <c r="S212" i="6"/>
  <c r="Y7" i="7"/>
  <c r="N7" i="5"/>
  <c r="T142" i="6"/>
  <c r="S142" i="6"/>
  <c r="S199" i="6"/>
  <c r="O5" i="5"/>
  <c r="S432" i="6"/>
  <c r="S446" i="6"/>
  <c r="S12" i="6"/>
  <c r="S388" i="6"/>
  <c r="S217" i="6"/>
  <c r="F58" i="1"/>
  <c r="L58" i="1" s="1"/>
  <c r="S213" i="6"/>
  <c r="M12" i="5"/>
  <c r="S416" i="6"/>
  <c r="S160" i="6"/>
  <c r="S56" i="6"/>
  <c r="M10" i="5"/>
  <c r="T519" i="6"/>
  <c r="T479" i="6"/>
  <c r="T309" i="6"/>
  <c r="T327" i="6"/>
  <c r="T145" i="6"/>
  <c r="S474" i="6"/>
  <c r="S246" i="6"/>
  <c r="S42" i="6"/>
  <c r="S366" i="6"/>
  <c r="S506" i="6"/>
  <c r="S347" i="6"/>
  <c r="S191" i="6"/>
  <c r="Z14" i="7"/>
  <c r="U6" i="5"/>
  <c r="J67" i="1" s="1"/>
  <c r="H67" i="1"/>
  <c r="S196" i="6"/>
  <c r="S164" i="6"/>
  <c r="T498" i="6"/>
  <c r="T441" i="6"/>
  <c r="T369" i="6"/>
  <c r="T180" i="6"/>
  <c r="T134" i="6"/>
  <c r="T331" i="6"/>
  <c r="T151" i="6"/>
  <c r="S274" i="6"/>
  <c r="Q7" i="5" s="1"/>
  <c r="T127" i="6"/>
  <c r="T36" i="6"/>
  <c r="S113" i="6"/>
  <c r="T405" i="6"/>
  <c r="T501" i="6"/>
  <c r="T321" i="6"/>
  <c r="T370" i="6"/>
  <c r="T84" i="6"/>
  <c r="T157" i="6"/>
  <c r="R12" i="5" s="1"/>
  <c r="T140" i="6"/>
  <c r="S9" i="6"/>
  <c r="S370" i="6"/>
  <c r="E77" i="1"/>
  <c r="E7" i="1"/>
  <c r="T451" i="6"/>
  <c r="T469" i="6"/>
  <c r="T252" i="6"/>
  <c r="T232" i="6"/>
  <c r="T166" i="6"/>
  <c r="T72" i="6"/>
  <c r="T240" i="6"/>
  <c r="S345" i="6"/>
  <c r="S14" i="6"/>
  <c r="S286" i="6"/>
  <c r="S368" i="6"/>
  <c r="T376" i="6"/>
  <c r="T404" i="6"/>
  <c r="T278" i="6"/>
  <c r="T323" i="6"/>
  <c r="T137" i="6"/>
  <c r="T70" i="6"/>
  <c r="S70" i="6"/>
  <c r="T26" i="6"/>
  <c r="S383" i="6"/>
  <c r="S471" i="6"/>
  <c r="S372" i="6"/>
  <c r="S96" i="6"/>
  <c r="T37" i="6"/>
  <c r="S37" i="6"/>
  <c r="P13" i="5"/>
  <c r="O10" i="5"/>
  <c r="T518" i="6"/>
  <c r="T367" i="6"/>
  <c r="T373" i="6"/>
  <c r="T220" i="6"/>
  <c r="T208" i="6"/>
  <c r="T63" i="6"/>
  <c r="T253" i="6"/>
  <c r="S49" i="6"/>
  <c r="T512" i="6"/>
  <c r="T357" i="6"/>
  <c r="T206" i="6"/>
  <c r="T194" i="6"/>
  <c r="T51" i="6"/>
  <c r="T230" i="6"/>
  <c r="S414" i="6"/>
  <c r="T493" i="6"/>
  <c r="T522" i="6"/>
  <c r="T265" i="6"/>
  <c r="T200" i="6"/>
  <c r="T54" i="6"/>
  <c r="S281" i="6"/>
  <c r="H75" i="1"/>
  <c r="U14" i="5"/>
  <c r="J75" i="1" s="1"/>
  <c r="T487" i="6"/>
  <c r="T511" i="6"/>
  <c r="T263" i="6"/>
  <c r="T178" i="6"/>
  <c r="S178" i="6"/>
  <c r="T350" i="6"/>
  <c r="T144" i="6"/>
  <c r="T10" i="6"/>
  <c r="S171" i="6"/>
  <c r="T508" i="6"/>
  <c r="T389" i="6"/>
  <c r="T408" i="6"/>
  <c r="T273" i="6"/>
  <c r="T203" i="6"/>
  <c r="T17" i="6"/>
  <c r="S518" i="6"/>
  <c r="S267" i="6"/>
  <c r="S325" i="6"/>
  <c r="S22" i="6"/>
  <c r="T257" i="6"/>
  <c r="F66" i="1"/>
  <c r="C16" i="5"/>
  <c r="T475" i="6"/>
  <c r="T499" i="6"/>
  <c r="T259" i="6"/>
  <c r="T245" i="6"/>
  <c r="T243" i="6"/>
  <c r="T122" i="6"/>
  <c r="T6" i="6"/>
  <c r="S6" i="6"/>
  <c r="T364" i="6"/>
  <c r="T409" i="6"/>
  <c r="T280" i="6"/>
  <c r="T242" i="6"/>
  <c r="T233" i="6"/>
  <c r="T109" i="6"/>
  <c r="S507" i="6"/>
  <c r="S11" i="6"/>
  <c r="T422" i="6"/>
  <c r="T455" i="6"/>
  <c r="T296" i="6"/>
  <c r="T302" i="6"/>
  <c r="T99" i="6"/>
  <c r="T155" i="6"/>
  <c r="T43" i="6"/>
  <c r="S356" i="6"/>
  <c r="S260" i="6"/>
  <c r="S111" i="6"/>
  <c r="S373" i="6"/>
  <c r="S357" i="6"/>
  <c r="S124" i="6"/>
  <c r="S165" i="6"/>
  <c r="K16" i="5"/>
  <c r="M5" i="5"/>
  <c r="Z9" i="7"/>
  <c r="Z8" i="7"/>
  <c r="U7" i="5"/>
  <c r="J68" i="1" s="1"/>
  <c r="H68" i="1"/>
  <c r="S150" i="6"/>
  <c r="T442" i="6"/>
  <c r="T458" i="6"/>
  <c r="T291" i="6"/>
  <c r="T222" i="6"/>
  <c r="T35" i="6"/>
  <c r="T65" i="6"/>
  <c r="T60" i="6"/>
  <c r="S225" i="6"/>
  <c r="T437" i="6"/>
  <c r="T454" i="6"/>
  <c r="T289" i="6"/>
  <c r="T210" i="6"/>
  <c r="T33" i="6"/>
  <c r="T53" i="6"/>
  <c r="T50" i="6"/>
  <c r="Z15" i="7"/>
  <c r="U15" i="5"/>
  <c r="J76" i="1" s="1"/>
  <c r="H76" i="1"/>
  <c r="O14" i="5"/>
  <c r="O15" i="5"/>
  <c r="S441" i="6"/>
  <c r="S194" i="6"/>
  <c r="T424" i="6"/>
  <c r="T434" i="6"/>
  <c r="T365" i="6"/>
  <c r="R9" i="5" s="1"/>
  <c r="T169" i="6"/>
  <c r="T125" i="6"/>
  <c r="S120" i="6"/>
  <c r="T417" i="6"/>
  <c r="T423" i="6"/>
  <c r="T348" i="6"/>
  <c r="T255" i="6"/>
  <c r="T112" i="6"/>
  <c r="T237" i="6"/>
  <c r="T135" i="6"/>
  <c r="S184" i="6"/>
  <c r="S169" i="6"/>
  <c r="S288" i="6"/>
  <c r="S195" i="6"/>
  <c r="T433" i="6"/>
  <c r="T300" i="6"/>
  <c r="T318" i="6"/>
  <c r="T123" i="6"/>
  <c r="R14" i="5" s="1"/>
  <c r="T176" i="6"/>
  <c r="T46" i="6"/>
  <c r="S478" i="6"/>
  <c r="S403" i="6"/>
  <c r="S17" i="6"/>
  <c r="S386" i="6"/>
  <c r="S179" i="6"/>
  <c r="D16" i="5"/>
  <c r="T400" i="6"/>
  <c r="T411" i="6"/>
  <c r="T329" i="6"/>
  <c r="T218" i="6"/>
  <c r="T77" i="6"/>
  <c r="T128" i="6"/>
  <c r="T108" i="6"/>
  <c r="S175" i="6"/>
  <c r="S251" i="6"/>
  <c r="S149" i="6"/>
  <c r="Q12" i="5" s="1"/>
  <c r="T488" i="6"/>
  <c r="T470" i="6"/>
  <c r="T492" i="6"/>
  <c r="T322" i="6"/>
  <c r="T204" i="6"/>
  <c r="T66" i="6"/>
  <c r="T116" i="6"/>
  <c r="T97" i="6"/>
  <c r="S391" i="6"/>
  <c r="S262" i="6"/>
  <c r="S440" i="6"/>
  <c r="S67" i="6"/>
  <c r="T516" i="6"/>
  <c r="T384" i="6"/>
  <c r="T272" i="6"/>
  <c r="T311" i="6"/>
  <c r="T105" i="6"/>
  <c r="T197" i="6"/>
  <c r="T20" i="6"/>
  <c r="S173" i="6"/>
  <c r="S64" i="6"/>
  <c r="S180" i="6"/>
  <c r="T25" i="6"/>
  <c r="S25" i="6"/>
  <c r="N15" i="5"/>
  <c r="P15" i="5" s="1"/>
  <c r="S520" i="6"/>
  <c r="S202" i="6"/>
  <c r="O8" i="5"/>
  <c r="S390" i="6"/>
  <c r="S60" i="6"/>
  <c r="S337" i="6"/>
  <c r="S359" i="6"/>
  <c r="S192" i="6"/>
  <c r="G66" i="1"/>
  <c r="E16" i="5"/>
  <c r="G77" i="1" s="1"/>
  <c r="S255" i="6"/>
  <c r="S39" i="6"/>
  <c r="S451" i="6"/>
  <c r="T387" i="6"/>
  <c r="T399" i="6"/>
  <c r="T314" i="6"/>
  <c r="T193" i="6"/>
  <c r="T55" i="6"/>
  <c r="T104" i="6"/>
  <c r="T85" i="6"/>
  <c r="S389" i="6"/>
  <c r="S361" i="6"/>
  <c r="S121" i="6"/>
  <c r="T449" i="6"/>
  <c r="S485" i="6"/>
  <c r="S329" i="6"/>
  <c r="S36" i="6"/>
  <c r="S81" i="6"/>
  <c r="M11" i="5"/>
  <c r="S297" i="6"/>
  <c r="S429" i="6"/>
  <c r="M8" i="5"/>
  <c r="T24" i="6"/>
  <c r="S24" i="6"/>
  <c r="S367" i="6"/>
  <c r="S321" i="6"/>
  <c r="S263" i="6"/>
  <c r="S418" i="6"/>
  <c r="S276" i="6"/>
  <c r="S417" i="6"/>
  <c r="S229" i="6"/>
  <c r="S95" i="6"/>
  <c r="S129" i="6"/>
  <c r="N11" i="5"/>
  <c r="P11" i="5" s="1"/>
  <c r="O7" i="5"/>
  <c r="L56" i="1"/>
  <c r="G59" i="1"/>
  <c r="L59" i="1" s="1"/>
  <c r="S226" i="6"/>
  <c r="T7" i="6"/>
  <c r="S7" i="6"/>
  <c r="O12" i="5"/>
  <c r="T460" i="6"/>
  <c r="T421" i="6"/>
  <c r="T284" i="6"/>
  <c r="T334" i="6"/>
  <c r="T161" i="6"/>
  <c r="T102" i="6"/>
  <c r="T32" i="6"/>
  <c r="N8" i="5"/>
  <c r="P8" i="5" s="1"/>
  <c r="S493" i="6"/>
  <c r="T503" i="6"/>
  <c r="T382" i="6"/>
  <c r="T401" i="6"/>
  <c r="T271" i="6"/>
  <c r="T190" i="6"/>
  <c r="T15" i="6"/>
  <c r="T106" i="6"/>
  <c r="S512" i="6"/>
  <c r="S135" i="6"/>
  <c r="S33" i="6"/>
  <c r="S35" i="6"/>
  <c r="S435" i="6"/>
  <c r="S30" i="6"/>
  <c r="P10" i="5"/>
  <c r="S335" i="6"/>
  <c r="S159" i="6"/>
  <c r="S204" i="6"/>
  <c r="T238" i="6"/>
  <c r="S238" i="6"/>
  <c r="Q8" i="5" s="1"/>
  <c r="S371" i="6"/>
  <c r="S259" i="6"/>
  <c r="S34" i="6"/>
  <c r="S521" i="6"/>
  <c r="S220" i="6"/>
  <c r="S114" i="6"/>
  <c r="S53" i="6"/>
  <c r="N5" i="5"/>
  <c r="L16" i="5"/>
  <c r="T415" i="6"/>
  <c r="T450" i="6"/>
  <c r="T294" i="6"/>
  <c r="T380" i="6"/>
  <c r="T87" i="6"/>
  <c r="T41" i="6"/>
  <c r="T410" i="6"/>
  <c r="T444" i="6"/>
  <c r="T292" i="6"/>
  <c r="T353" i="6"/>
  <c r="T75" i="6"/>
  <c r="T139" i="6"/>
  <c r="S139" i="6"/>
  <c r="T40" i="6"/>
  <c r="S448" i="6"/>
  <c r="O9" i="5"/>
  <c r="P9" i="5" s="1"/>
  <c r="S442" i="6"/>
  <c r="T360" i="6"/>
  <c r="T426" i="6"/>
  <c r="T443" i="6"/>
  <c r="T285" i="6"/>
  <c r="T187" i="6"/>
  <c r="T29" i="6"/>
  <c r="S125" i="6"/>
  <c r="T358" i="6"/>
  <c r="T419" i="6"/>
  <c r="T436" i="6"/>
  <c r="T283" i="6"/>
  <c r="T177" i="6"/>
  <c r="T27" i="6"/>
  <c r="T162" i="6"/>
  <c r="T457" i="6"/>
  <c r="T476" i="6"/>
  <c r="T254" i="6"/>
  <c r="T236" i="6"/>
  <c r="T198" i="6"/>
  <c r="T86" i="6"/>
  <c r="T249" i="6"/>
  <c r="S351" i="6"/>
  <c r="S107" i="6"/>
  <c r="S240" i="6"/>
  <c r="S205" i="6"/>
  <c r="Y11" i="7"/>
  <c r="T352" i="6"/>
  <c r="T407" i="6"/>
  <c r="T425" i="6"/>
  <c r="T279" i="6"/>
  <c r="T228" i="6"/>
  <c r="T23" i="6"/>
  <c r="T146" i="6"/>
  <c r="S162" i="6"/>
  <c r="M9" i="5"/>
  <c r="T509" i="6"/>
  <c r="T477" i="6"/>
  <c r="T489" i="6"/>
  <c r="T277" i="6"/>
  <c r="T223" i="6"/>
  <c r="T21" i="6"/>
  <c r="T138" i="6"/>
  <c r="S490" i="6"/>
  <c r="S382" i="6"/>
  <c r="S334" i="6"/>
  <c r="S50" i="6"/>
  <c r="S186" i="6"/>
  <c r="S397" i="6"/>
  <c r="S73" i="6"/>
  <c r="T523" i="6"/>
  <c r="T379" i="6"/>
  <c r="T355" i="6"/>
  <c r="T224" i="6"/>
  <c r="T219" i="6"/>
  <c r="T74" i="6"/>
  <c r="T48" i="6"/>
  <c r="S452" i="6"/>
  <c r="S155" i="6"/>
  <c r="S83" i="6"/>
  <c r="S156" i="6"/>
  <c r="S177" i="6"/>
  <c r="S103" i="6"/>
  <c r="T9" i="5" l="1"/>
  <c r="P5" i="5"/>
  <c r="N16" i="5"/>
  <c r="F77" i="1"/>
  <c r="F24" i="5"/>
  <c r="P12" i="5"/>
  <c r="T12" i="5" s="1"/>
  <c r="Z11" i="7"/>
  <c r="U8" i="5"/>
  <c r="J69" i="1" s="1"/>
  <c r="H69" i="1"/>
  <c r="Q15" i="5"/>
  <c r="T15" i="5" s="1"/>
  <c r="R8" i="5"/>
  <c r="AM8" i="7"/>
  <c r="AA8" i="7" s="1"/>
  <c r="AG8" i="7" s="1"/>
  <c r="AH8" i="7" s="1"/>
  <c r="AM14" i="7"/>
  <c r="AA14" i="7" s="1"/>
  <c r="AG14" i="7" s="1"/>
  <c r="AH14" i="7" s="1"/>
  <c r="Q11" i="5"/>
  <c r="Z17" i="7"/>
  <c r="Z7" i="7"/>
  <c r="U11" i="5"/>
  <c r="J72" i="1" s="1"/>
  <c r="H72" i="1"/>
  <c r="AM9" i="7"/>
  <c r="AA9" i="7" s="1"/>
  <c r="AG9" i="7" s="1"/>
  <c r="AH9" i="7" s="1"/>
  <c r="Z10" i="7"/>
  <c r="U10" i="5"/>
  <c r="J71" i="1" s="1"/>
  <c r="H71" i="1"/>
  <c r="R11" i="5"/>
  <c r="T8" i="5"/>
  <c r="Z6" i="7"/>
  <c r="H66" i="1"/>
  <c r="U5" i="5"/>
  <c r="J66" i="1" s="1"/>
  <c r="M16" i="5"/>
  <c r="O16" i="5"/>
  <c r="F22" i="5" s="1"/>
  <c r="Z12" i="7"/>
  <c r="U9" i="5"/>
  <c r="J70" i="1" s="1"/>
  <c r="H70" i="1"/>
  <c r="B35" i="3"/>
  <c r="G47" i="1"/>
  <c r="F23" i="5"/>
  <c r="B42" i="3"/>
  <c r="B41" i="3" s="1"/>
  <c r="G46" i="1"/>
  <c r="F32" i="1"/>
  <c r="Q13" i="5"/>
  <c r="T13" i="5" s="1"/>
  <c r="AC13" i="7"/>
  <c r="AD13" i="7" s="1"/>
  <c r="O13" i="7"/>
  <c r="S12" i="5"/>
  <c r="AF13" i="7"/>
  <c r="Q5" i="5"/>
  <c r="R13" i="5"/>
  <c r="Q14" i="5"/>
  <c r="T14" i="5" s="1"/>
  <c r="AA15" i="7"/>
  <c r="AG15" i="7" s="1"/>
  <c r="AH15" i="7" s="1"/>
  <c r="AM15" i="7"/>
  <c r="R5" i="5"/>
  <c r="Q6" i="5"/>
  <c r="T6" i="5" s="1"/>
  <c r="G48" i="1"/>
  <c r="F35" i="1"/>
  <c r="F34" i="1"/>
  <c r="Z13" i="7"/>
  <c r="U12" i="5"/>
  <c r="J73" i="1" s="1"/>
  <c r="H73" i="1"/>
  <c r="P7" i="5"/>
  <c r="R6" i="5"/>
  <c r="T11" i="5"/>
  <c r="R7" i="5"/>
  <c r="Q10" i="5"/>
  <c r="T10" i="5" s="1"/>
  <c r="AA16" i="7"/>
  <c r="AG16" i="7" s="1"/>
  <c r="AH16" i="7" s="1"/>
  <c r="AJ8" i="7" l="1"/>
  <c r="AI8" i="7"/>
  <c r="AJ9" i="7"/>
  <c r="AI9" i="7"/>
  <c r="AJ14" i="7"/>
  <c r="AI14" i="7"/>
  <c r="U16" i="5"/>
  <c r="J77" i="1" s="1"/>
  <c r="I7" i="1"/>
  <c r="F31" i="1"/>
  <c r="H77" i="1"/>
  <c r="R16" i="5"/>
  <c r="F57" i="1" s="1"/>
  <c r="L57" i="1" s="1"/>
  <c r="AA7" i="7"/>
  <c r="AG7" i="7" s="1"/>
  <c r="AH7" i="7" s="1"/>
  <c r="AM7" i="7"/>
  <c r="AM11" i="7"/>
  <c r="AA11" i="7" s="1"/>
  <c r="AG11" i="7" s="1"/>
  <c r="AH11" i="7" s="1"/>
  <c r="AM6" i="7"/>
  <c r="AA6" i="7" s="1"/>
  <c r="AG6" i="7" s="1"/>
  <c r="AH6" i="7" s="1"/>
  <c r="AM17" i="7"/>
  <c r="AA17" i="7" s="1"/>
  <c r="AG17" i="7" s="1"/>
  <c r="AH17" i="7" s="1"/>
  <c r="AJ15" i="7"/>
  <c r="AI15" i="7"/>
  <c r="B45" i="3"/>
  <c r="B44" i="3"/>
  <c r="AJ16" i="7"/>
  <c r="AI16" i="7"/>
  <c r="T7" i="5"/>
  <c r="Q16" i="5"/>
  <c r="B15" i="4"/>
  <c r="C37" i="3"/>
  <c r="B37" i="3"/>
  <c r="C26" i="3" s="1"/>
  <c r="P16" i="5"/>
  <c r="T5" i="5"/>
  <c r="T16" i="5" s="1"/>
  <c r="AM12" i="7"/>
  <c r="AA12" i="7" s="1"/>
  <c r="AG12" i="7" s="1"/>
  <c r="AH12" i="7" s="1"/>
  <c r="AH13" i="7"/>
  <c r="AM13" i="7"/>
  <c r="AA13" i="7"/>
  <c r="AG13" i="7" s="1"/>
  <c r="I73" i="1"/>
  <c r="S16" i="5"/>
  <c r="I77" i="1" s="1"/>
  <c r="AM10" i="7"/>
  <c r="AA10" i="7" s="1"/>
  <c r="AG10" i="7" s="1"/>
  <c r="AH10" i="7" s="1"/>
  <c r="AJ17" i="7" l="1"/>
  <c r="AI17" i="7"/>
  <c r="AJ10" i="7"/>
  <c r="AI10" i="7"/>
  <c r="AJ6" i="7"/>
  <c r="AI6" i="7"/>
  <c r="AJ12" i="7"/>
  <c r="AI12" i="7"/>
  <c r="AJ11" i="7"/>
  <c r="AI11" i="7"/>
  <c r="AL16" i="7"/>
  <c r="AK16" i="7"/>
  <c r="AL15" i="7"/>
  <c r="AK15" i="7"/>
  <c r="G7" i="1"/>
  <c r="F26" i="5"/>
  <c r="AL14" i="7"/>
  <c r="AK14" i="7"/>
  <c r="AJ13" i="7"/>
  <c r="AI13" i="7"/>
  <c r="AJ7" i="7"/>
  <c r="AI7" i="7"/>
  <c r="G31" i="1"/>
  <c r="G32" i="1" s="1"/>
  <c r="G33" i="1" s="1"/>
  <c r="G34" i="1" s="1"/>
  <c r="G35" i="1" s="1"/>
  <c r="G36" i="1" s="1"/>
  <c r="G37" i="1" s="1"/>
  <c r="F55" i="1"/>
  <c r="B34" i="3"/>
  <c r="AL9" i="7"/>
  <c r="AK9" i="7"/>
  <c r="AL8" i="7"/>
  <c r="AK8" i="7"/>
  <c r="AL11" i="7" l="1"/>
  <c r="AK11" i="7"/>
  <c r="AL12" i="7"/>
  <c r="AK12" i="7"/>
  <c r="AL6" i="7"/>
  <c r="AK6" i="7"/>
  <c r="F41" i="1"/>
  <c r="E41" i="1"/>
  <c r="F40" i="1"/>
  <c r="E40" i="1"/>
  <c r="E39" i="1"/>
  <c r="E38" i="1"/>
  <c r="E42" i="1" s="1"/>
  <c r="F39" i="1"/>
  <c r="F38" i="1"/>
  <c r="AL10" i="7"/>
  <c r="AK10" i="7"/>
  <c r="J7" i="1"/>
  <c r="G44" i="1"/>
  <c r="G38" i="1"/>
  <c r="G39" i="1" s="1"/>
  <c r="AL7" i="7"/>
  <c r="AK7" i="7"/>
  <c r="AL13" i="7"/>
  <c r="AK13" i="7"/>
  <c r="F59" i="1"/>
  <c r="L55" i="1"/>
  <c r="D7" i="1"/>
  <c r="AL17" i="7"/>
  <c r="AK17" i="7"/>
  <c r="G40" i="1" l="1"/>
  <c r="G41" i="1" s="1"/>
  <c r="G42" i="1" s="1"/>
  <c r="G45" i="1" s="1"/>
  <c r="L54" i="1"/>
  <c r="A60" i="1"/>
  <c r="H59" i="1"/>
  <c r="K24" i="1"/>
  <c r="K12" i="1"/>
  <c r="K15" i="1"/>
  <c r="K25" i="1"/>
  <c r="K13" i="1"/>
  <c r="K26" i="1"/>
  <c r="K14" i="1"/>
  <c r="K16" i="1"/>
  <c r="K19" i="1"/>
  <c r="K20" i="1"/>
  <c r="K22" i="1"/>
  <c r="K18" i="1"/>
  <c r="K21" i="1"/>
  <c r="K17" i="1"/>
  <c r="K23" i="1"/>
  <c r="J8" i="1"/>
  <c r="A49" i="1"/>
  <c r="F42" i="1"/>
  <c r="J13" i="1" l="1"/>
  <c r="I13" i="1"/>
  <c r="H13" i="1"/>
  <c r="E13" i="1"/>
  <c r="D13" i="1"/>
  <c r="B13" i="1"/>
  <c r="G13" i="1"/>
  <c r="F13" i="1"/>
  <c r="C13" i="1"/>
  <c r="A13" i="1"/>
  <c r="J23" i="1"/>
  <c r="G23" i="1"/>
  <c r="I23" i="1"/>
  <c r="H23" i="1"/>
  <c r="F23" i="1"/>
  <c r="C23" i="1"/>
  <c r="B23" i="1"/>
  <c r="E23" i="1"/>
  <c r="A23" i="1"/>
  <c r="D23" i="1"/>
  <c r="H21" i="1"/>
  <c r="G21" i="1"/>
  <c r="E21" i="1"/>
  <c r="F21" i="1"/>
  <c r="D21" i="1"/>
  <c r="A21" i="1"/>
  <c r="I21" i="1"/>
  <c r="J21" i="1"/>
  <c r="C21" i="1"/>
  <c r="B21" i="1"/>
  <c r="B15" i="1"/>
  <c r="A15" i="1"/>
  <c r="J15" i="1"/>
  <c r="G15" i="1"/>
  <c r="F15" i="1"/>
  <c r="H15" i="1"/>
  <c r="D15" i="1"/>
  <c r="C15" i="1"/>
  <c r="E15" i="1"/>
  <c r="I15" i="1"/>
  <c r="J12" i="1"/>
  <c r="H12" i="1"/>
  <c r="I12" i="1"/>
  <c r="G12" i="1"/>
  <c r="D12" i="1"/>
  <c r="C12" i="1"/>
  <c r="F12" i="1"/>
  <c r="E12" i="1"/>
  <c r="B12" i="1"/>
  <c r="A12" i="1"/>
  <c r="A14" i="1"/>
  <c r="J14" i="1"/>
  <c r="I14" i="1"/>
  <c r="F14" i="1"/>
  <c r="E14" i="1"/>
  <c r="H14" i="1"/>
  <c r="G14" i="1"/>
  <c r="D14" i="1"/>
  <c r="C14" i="1"/>
  <c r="B14" i="1"/>
  <c r="H24" i="1"/>
  <c r="J24" i="1"/>
  <c r="I24" i="1"/>
  <c r="G24" i="1"/>
  <c r="D24" i="1"/>
  <c r="C24" i="1"/>
  <c r="B24" i="1"/>
  <c r="F24" i="1"/>
  <c r="E24" i="1"/>
  <c r="A24" i="1"/>
  <c r="I22" i="1"/>
  <c r="F22" i="1"/>
  <c r="H22" i="1"/>
  <c r="G22" i="1"/>
  <c r="E22" i="1"/>
  <c r="B22" i="1"/>
  <c r="A22" i="1"/>
  <c r="J22" i="1"/>
  <c r="D22" i="1"/>
  <c r="C22" i="1"/>
  <c r="G20" i="1"/>
  <c r="F20" i="1"/>
  <c r="E20" i="1"/>
  <c r="D20" i="1"/>
  <c r="C20" i="1"/>
  <c r="J20" i="1"/>
  <c r="H20" i="1"/>
  <c r="B20" i="1"/>
  <c r="A20" i="1"/>
  <c r="I20" i="1"/>
  <c r="C16" i="1"/>
  <c r="B16" i="1"/>
  <c r="A16" i="1"/>
  <c r="H16" i="1"/>
  <c r="G16" i="1"/>
  <c r="E16" i="1"/>
  <c r="I16" i="1"/>
  <c r="J16" i="1"/>
  <c r="F16" i="1"/>
  <c r="D16" i="1"/>
  <c r="A26" i="1"/>
  <c r="J26" i="1"/>
  <c r="I26" i="1"/>
  <c r="F26" i="1"/>
  <c r="E26" i="1"/>
  <c r="C26" i="1"/>
  <c r="H26" i="1"/>
  <c r="B26" i="1"/>
  <c r="G26" i="1"/>
  <c r="D26" i="1"/>
  <c r="I25" i="1"/>
  <c r="J25" i="1"/>
  <c r="H25" i="1"/>
  <c r="E25" i="1"/>
  <c r="D25" i="1"/>
  <c r="G25" i="1"/>
  <c r="F25" i="1"/>
  <c r="C25" i="1"/>
  <c r="B25" i="1"/>
  <c r="A25" i="1"/>
  <c r="D17" i="1"/>
  <c r="C17" i="1"/>
  <c r="B17" i="1"/>
  <c r="A17" i="1"/>
  <c r="I17" i="1"/>
  <c r="H17" i="1"/>
  <c r="J17" i="1"/>
  <c r="G17" i="1"/>
  <c r="F17" i="1"/>
  <c r="E17" i="1"/>
  <c r="E18" i="1"/>
  <c r="B18" i="1"/>
  <c r="D18" i="1"/>
  <c r="C18" i="1"/>
  <c r="A18" i="1"/>
  <c r="J18" i="1"/>
  <c r="I18" i="1"/>
  <c r="F18" i="1"/>
  <c r="H18" i="1"/>
  <c r="G18" i="1"/>
  <c r="F19" i="1"/>
  <c r="C19" i="1"/>
  <c r="E19" i="1"/>
  <c r="D19" i="1"/>
  <c r="B19" i="1"/>
  <c r="J19" i="1"/>
  <c r="I19" i="1"/>
  <c r="H19" i="1"/>
  <c r="G19" i="1"/>
  <c r="A19" i="1"/>
</calcChain>
</file>

<file path=xl/sharedStrings.xml><?xml version="1.0" encoding="utf-8"?>
<sst xmlns="http://schemas.openxmlformats.org/spreadsheetml/2006/main" count="5315" uniqueCount="1571">
  <si>
    <t>Weekly Hiring Approvals</t>
  </si>
  <si>
    <t>1. Where we stand</t>
  </si>
  <si>
    <t>Requests this week</t>
  </si>
  <si>
    <t>People on payroll</t>
  </si>
  <si>
    <t>YTD savings from open seats (goes away)</t>
  </si>
  <si>
    <t>Net adds YTD (hires – terms)</t>
  </si>
  <si>
    <t>YTD payroll under / (over) budget</t>
  </si>
  <si>
    <t>Yearly cost vs FY26 budget run-rate</t>
  </si>
  <si>
    <t>2. This week's requests: easiest first</t>
  </si>
  <si>
    <t>Decision</t>
  </si>
  <si>
    <t>Req</t>
  </si>
  <si>
    <t>Department</t>
  </si>
  <si>
    <t>Position</t>
  </si>
  <si>
    <t>Type</t>
  </si>
  <si>
    <t>Base pay</t>
  </si>
  <si>
    <t>Pay vs ref.</t>
  </si>
  <si>
    <t>FY27 added cost</t>
  </si>
  <si>
    <t>Dept headroom after this + easier requests</t>
  </si>
  <si>
    <t>Why flagged</t>
  </si>
  <si>
    <t>3. Can we afford them? FY27 payroll room</t>
  </si>
  <si>
    <t>Starts with today's full-year gap to the FY26 budget run-rate, rolls it into FY27, then takes out each group of requests.</t>
  </si>
  <si>
    <t>Step</t>
  </si>
  <si>
    <t># requests</t>
  </si>
  <si>
    <t>Change in FY27 room</t>
  </si>
  <si>
    <t>Room left</t>
  </si>
  <si>
    <t>Today: FY26 budget run-rate minus committed yearly cost (Dept Summary)</t>
  </si>
  <si>
    <t>+ Organic growth allowed (FY26 run-rate × same-community growth × payroll growth ratio)</t>
  </si>
  <si>
    <t>+ Net room from acquisitions (Acquisitions tab)</t>
  </si>
  <si>
    <t>– FY27 raise on committed cost (rate and start month on Assumptions)</t>
  </si>
  <si>
    <t>+ Normal vacancy savings on FY27 committed cost (Assumptions)</t>
  </si>
  <si>
    <t>– Approved in past weeks, not started yet</t>
  </si>
  <si>
    <t>Room before this week's requests</t>
  </si>
  <si>
    <t>Fast-track requests (backfills, pay in range)</t>
  </si>
  <si>
    <t>Approve requests (no flags)</t>
  </si>
  <si>
    <t>Review requests (one flag)</t>
  </si>
  <si>
    <t>Challenge requests (two or more flags)</t>
  </si>
  <si>
    <t>Room left if every request is approved</t>
  </si>
  <si>
    <t>What if the assumptions are off?</t>
  </si>
  <si>
    <t>Without the vacancy cushion: room before this week</t>
  </si>
  <si>
    <t>Without the vacancy cushion: room left if every request is approved</t>
  </si>
  <si>
    <t>Each 10 pts of payroll growth ratio (Assumptions) moves room by</t>
  </si>
  <si>
    <t>Each 1 pt of organic revenue growth (Assumptions) moves room by</t>
  </si>
  <si>
    <t>Each 1 pt of vacancy (Assumptions) moves room by</t>
  </si>
  <si>
    <t>4. Is the YTD savings real?</t>
  </si>
  <si>
    <t>Same four drivers, two time frames. YTD = actual vs budget through the as-of date. FY RR = today's people and open seats for 12 months vs the FY26 budget run-rate.</t>
  </si>
  <si>
    <t>Driver</t>
  </si>
  <si>
    <t>YTD Act vs Bud</t>
  </si>
  <si>
    <t>FY RR Act vs Bud</t>
  </si>
  <si>
    <t>What happens next</t>
  </si>
  <si>
    <t>YTD</t>
  </si>
  <si>
    <t>Open seats and late starts (still planned to fill)</t>
  </si>
  <si>
    <t>Goes away: once filled, these seats cost what the budget planned.</t>
  </si>
  <si>
    <t>Open seats</t>
  </si>
  <si>
    <t>Seats on hold (not being filled)</t>
  </si>
  <si>
    <t>Stays as long as the seats stay on hold.</t>
  </si>
  <si>
    <t>Holds</t>
  </si>
  <si>
    <t>Pay above / (below) budget, filled seats</t>
  </si>
  <si>
    <t>Stays: today's people at today's pay.</t>
  </si>
  <si>
    <t>Pay</t>
  </si>
  <si>
    <t>Unbudgeted hires</t>
  </si>
  <si>
    <t>Stays, and grows to a full year of pay.</t>
  </si>
  <si>
    <t>Unbudgeted</t>
  </si>
  <si>
    <t>Total under / (over) budget</t>
  </si>
  <si>
    <t>FY RR</t>
  </si>
  <si>
    <t>5. Department view</t>
  </si>
  <si>
    <t>Headroom = FY26 budget run-rate minus committed yearly cost. Over budget = more than the cushion on Assumptions. Deal-funded hires are paid from acquisition room, not the department.</t>
  </si>
  <si>
    <t>Filled today</t>
  </si>
  <si>
    <t>Net adds YTD</t>
  </si>
  <si>
    <t>Open to fill</t>
  </si>
  <si>
    <t>Unbudgeted hires on payroll</t>
  </si>
  <si>
    <t>Headroom after open seats / (over)</t>
  </si>
  <si>
    <t>Deal-funded hires pending (FY27 cost)</t>
  </si>
  <si>
    <t>Status</t>
  </si>
  <si>
    <t>How It Works</t>
  </si>
  <si>
    <t>Sorts each week's hiring requests so the meeting spends time only on the ones that need a real conversation.</t>
  </si>
  <si>
    <t>1. What this answers</t>
  </si>
  <si>
    <t>Should we approve this request?</t>
  </si>
  <si>
    <t>Section 2 of the dashboard sorts every request into approve, discuss, or send back, easiest first.</t>
  </si>
  <si>
    <t>What does a yes cost next year?</t>
  </si>
  <si>
    <t>Each request shows its FY27 cost. Section 3 shows how much FY27 payroll room is left after each group.</t>
  </si>
  <si>
    <t>Is the YTD payroll savings real?</t>
  </si>
  <si>
    <t>Section 4 and the top tiles split it: open-seat savings go away once seats fill; pay above budget and unbudgeted hires stay and grow to a full year.</t>
  </si>
  <si>
    <t>Which departments keep adding?</t>
  </si>
  <si>
    <t>Section 5 shows net adds, unbudgeted hires, and whether each department is over its full-year budget.</t>
  </si>
  <si>
    <t>Is growth enough to pay for new hires?</t>
  </si>
  <si>
    <t>Section 3 adds organic growth and each acquisition's payroll allowance (Acquisitions tab) before any request is counted.</t>
  </si>
  <si>
    <t>2. The decision</t>
  </si>
  <si>
    <t>Every request gets one of four decisions</t>
  </si>
  <si>
    <t>The tool does the math; people still make the call. Fast-track and Approve = approve, Review = discuss, Challenge = send back.</t>
  </si>
  <si>
    <t>Fast-track</t>
  </si>
  <si>
    <t>Backfill for a budgeted seat, and pay is within the pay tolerance of the last person. Approve without discussion.</t>
  </si>
  <si>
    <t>Approve</t>
  </si>
  <si>
    <t>New seat with no flags (in the budget, or paid for by an acquisition). Approve.</t>
  </si>
  <si>
    <t>Review</t>
  </si>
  <si>
    <t>One flag. Talk about that one issue.</t>
  </si>
  <si>
    <t>Challenge</t>
  </si>
  <si>
    <t>Two or more flags. Send it back: find an offset (like holding another seat) or make the case in writing.</t>
  </si>
  <si>
    <t>3. The three checks (Requests tab, columns AE–AG)</t>
  </si>
  <si>
    <t>Check</t>
  </si>
  <si>
    <t>The question it asks</t>
  </si>
  <si>
    <t>Applies to</t>
  </si>
  <si>
    <t>Where to see it</t>
  </si>
  <si>
    <t>Check 1: Pay too high</t>
  </si>
  <si>
    <t>Is the offer more than the pay tolerance above its reference? Reference = last person's pay (backfill), budget pay (budgeted seat), or market midpoint (new unbudgeted seat).</t>
  </si>
  <si>
    <t>All requests</t>
  </si>
  <si>
    <t>Dashboard: Pay vs ref. Requests: AE</t>
  </si>
  <si>
    <t>Check 2: Not in budget</t>
  </si>
  <si>
    <t>Is this a new seat that is not in the FY26 budget?</t>
  </si>
  <si>
    <t>New seats only</t>
  </si>
  <si>
    <t>Dashboard: Type = Unbudgeted add. Requests: AF</t>
  </si>
  <si>
    <t>Check 3: Dept over budget</t>
  </si>
  <si>
    <t>Counting this hire, the easier requests above it from the same department, and any approved ones, will the department be over its budget by more than the cushion?</t>
  </si>
  <si>
    <t>Dashboard: Dept headroom after this + easier requests. Requests: AG</t>
  </si>
  <si>
    <t>Why backfills only get Check 1</t>
  </si>
  <si>
    <t>The seat is already in the budget. If the department is over, fix it at the department level (hold another open seat, pause a new seat), not by leaving a job empty.</t>
  </si>
  <si>
    <t>Why a budgeted new seat can trip Check 3</t>
  </si>
  <si>
    <t>If the offer is above budget and the department is already over, the new seat is the only lever left. A budgeted seat at or below budget never trips it.</t>
  </si>
  <si>
    <t>Hires paid for by an acquisition</t>
  </si>
  <si>
    <t>Type the deal name in 'Funded by deal'. While the deal has room, the request skips Checks 2 and 3 and uses the deal's room instead. The cost still shows in its department, marked 'deal-funded'. Months before the deal closes count as integration cost.</t>
  </si>
  <si>
    <t>4. Key terms</t>
  </si>
  <si>
    <t>Request type</t>
  </si>
  <si>
    <t>Backfill = replaces someone who left. Budgeted add = new seat in the FY26 budget. Unbudgeted add = new seat not in the budget (Check 2). Deal-funded add = new seat paid for by an acquisition.</t>
  </si>
  <si>
    <t>Yearly cost</t>
  </si>
  <si>
    <t>Base pay × cost multiplier. Multiplier = 1 + benefits and taxes + (target bonus for the job level × expected payout).</t>
  </si>
  <si>
    <t>FY26 budget run-rate</t>
  </si>
  <si>
    <t>Every budgeted seat at budget pay for 12 months, even seats budgeted to start mid-year. Assumptions also shows the in-year budget dollars.</t>
  </si>
  <si>
    <t>Committed yearly cost</t>
  </si>
  <si>
    <t>What payroll costs for 12 months if nothing changes: people on payroll today at actual pay, plus open seats we still plan to fill at budget pay. No raise, no vacancy.</t>
  </si>
  <si>
    <t>Headroom</t>
  </si>
  <si>
    <t>FY26 budget run-rate minus committed yearly cost. It goes negative when people are paid above budget or unbudgeted hires are added. Seats on hold give some back.</t>
  </si>
  <si>
    <t>Temporary vs ongoing</t>
  </si>
  <si>
    <t>Temporary = savings from seats that sat open, at the budget rate. It stops once seats fill. Ongoing = pay above or below budget, plus unbudgeted hires. It keeps going.</t>
  </si>
  <si>
    <t>YTD Act vs Bud vs FY RR Act vs Bud</t>
  </si>
  <si>
    <t>Same drivers, two time frames. YTD looks back through the as-of date. FY RR looks at a full year of today's payroll. Section 4 bridges one to the other.</t>
  </si>
  <si>
    <t>Hold</t>
  </si>
  <si>
    <t>A budgeted seat the department agrees not to fill. It stays in the budget but out of committed cost, which frees room for another hire. If someone later asks to fill it, the full cost counts as new spend, so the money can't be spent twice.</t>
  </si>
  <si>
    <t>FY27 room</t>
  </si>
  <si>
    <t>Today's gap to the FY26 run-rate, plus organic growth, plus acquisition room, minus next year's raise, plus normal vacancy. Each request uses some of it.</t>
  </si>
  <si>
    <t>Open seats vs requests vs net adds</t>
  </si>
  <si>
    <t>Open seats = budgeted seats empty today. Some requests fill them; others are new seats. Net adds YTD is history (hires minus terms).</t>
  </si>
  <si>
    <t>Seats bridge / people bridge</t>
  </si>
  <si>
    <t>Budgeted seats – open – on hold + unbudgeted hires = filled today. Jan 1 headcount + hires – terms = filled today.</t>
  </si>
  <si>
    <t>Pending = on the dashboard this week. Approved = counts against FY27 room until the person starts. Started = now on the Roster. Declined = drops off.</t>
  </si>
  <si>
    <t>5. Tabs at a glance</t>
  </si>
  <si>
    <t>Tab</t>
  </si>
  <si>
    <t>What it is</t>
  </si>
  <si>
    <t>How it gets filled</t>
  </si>
  <si>
    <t>Tab color</t>
  </si>
  <si>
    <t>The one page for the meeting.</t>
  </si>
  <si>
    <t>Formulas only</t>
  </si>
  <si>
    <t>Blue</t>
  </si>
  <si>
    <t>This page.</t>
  </si>
  <si>
    <t>Text</t>
  </si>
  <si>
    <t>Gray</t>
  </si>
  <si>
    <t>Assumptions</t>
  </si>
  <si>
    <t>Settings: benefits, bonus, raise, growth, check limits, GL tie-out, and the color key.</t>
  </si>
  <si>
    <t>Change yellow cells</t>
  </si>
  <si>
    <t>Yellow</t>
  </si>
  <si>
    <t>Acquisitions</t>
  </si>
  <si>
    <t>One row per deal: revenue, inherited staff, and the payroll it allows.</t>
  </si>
  <si>
    <t>Type the blue columns</t>
  </si>
  <si>
    <t>Orange</t>
  </si>
  <si>
    <t>Dept Summary</t>
  </si>
  <si>
    <t>Totals by department, both bridges, and the checks box.</t>
  </si>
  <si>
    <t>Green</t>
  </si>
  <si>
    <t>Seats</t>
  </si>
  <si>
    <t>Every budgeted seat and unbudgeted hire, budget vs actual.</t>
  </si>
  <si>
    <t>Paste A–I; formulas J–W</t>
  </si>
  <si>
    <t>Requests</t>
  </si>
  <si>
    <t>This week's hiring requests from department heads.</t>
  </si>
  <si>
    <t>Type A–M; formulas N–AL</t>
  </si>
  <si>
    <t>Roster</t>
  </si>
  <si>
    <t>HRIS export of everyone on payroll this year.</t>
  </si>
  <si>
    <t>Paste A–H; copy J–O down</t>
  </si>
  <si>
    <t>6. Colors inside the cells</t>
  </si>
  <si>
    <t>Color key</t>
  </si>
  <si>
    <t>Blue = input. Black = formula on the same tab. Green = formula pulling from another tab (not 'good'). Yellow = setting. Triangles show direction only. Full key on Assumptions.</t>
  </si>
  <si>
    <t>7. Monthly update (after each close)</t>
  </si>
  <si>
    <t>Step 1</t>
  </si>
  <si>
    <t>Assumptions: change the as-of date to the last closed month.</t>
  </si>
  <si>
    <t>Step 2</t>
  </si>
  <si>
    <t>Roster: paste the new HRIS export in A–H, including people who left this year. Copy J–O down to the last row.</t>
  </si>
  <si>
    <t>Step 3</t>
  </si>
  <si>
    <t>Seats: add a row for any new seat ID (like an unbudgeted hire) and copy the formulas down.</t>
  </si>
  <si>
    <t>Step 4</t>
  </si>
  <si>
    <t>Acquisitions: update deals as they move (close month, include Yes/No).</t>
  </si>
  <si>
    <t>Step 5</t>
  </si>
  <si>
    <t>Dept Summary: every line in the Checks box should say OK.</t>
  </si>
  <si>
    <t>8. Weekly update (before each meeting)</t>
  </si>
  <si>
    <t>Requests: type new requests in A–M with Status = Pending.</t>
  </si>
  <si>
    <t>After the meeting: change Status to Approved or Declined.</t>
  </si>
  <si>
    <t>When an approved hire shows up on the Roster: change Status to Started.</t>
  </si>
  <si>
    <t>9. What's not in this version</t>
  </si>
  <si>
    <t>Staffing ratios</t>
  </si>
  <si>
    <t>Testing growth hires against ratios by function (like communities per accountant). Next step, set with the CFO and HR.</t>
  </si>
  <si>
    <t>Growth from real budgets</t>
  </si>
  <si>
    <t>Organic growth from the FY27 community budgets and the investments team's deal models. Today they're single inputs.</t>
  </si>
  <si>
    <t>Actual rates</t>
  </si>
  <si>
    <t>Benefits rate from the payroll register and bonus accruals vs expected payout. Today they're assumptions.</t>
  </si>
  <si>
    <t>Trends</t>
  </si>
  <si>
    <t>Monthly headcount and payroll trend by department.</t>
  </si>
  <si>
    <t>Partial months</t>
  </si>
  <si>
    <t>Hires and terms count as full months. No daily proration.</t>
  </si>
  <si>
    <t>Automatic data feed</t>
  </si>
  <si>
    <t>The roster and seat list are pasted in each month.</t>
  </si>
  <si>
    <t>Who's left out</t>
  </si>
  <si>
    <t>C-suite and department heads (full labor model, restricted). Contractors and temps (contract services, not payroll).</t>
  </si>
  <si>
    <t>10. About this file</t>
  </si>
  <si>
    <t>Illustrative data</t>
  </si>
  <si>
    <t>All names, seats, pay, bonus targets, requests, and the deal are made up. The layout matches a real roster and seat budget, so real files can be pasted in.</t>
  </si>
  <si>
    <t>Access</t>
  </si>
  <si>
    <t>Shows individual pay. CFO, head of HR, and FP&amp;A only. Department heads see only their own department.</t>
  </si>
  <si>
    <t>Purpose</t>
  </si>
  <si>
    <t>A decision dashboard for the weekly hiring approvals. It sits on top of the full labor model; it does not replace it.</t>
  </si>
  <si>
    <t>Change only the yellow cells. Every formula in the file points here.</t>
  </si>
  <si>
    <t>Setting</t>
  </si>
  <si>
    <t>Value</t>
  </si>
  <si>
    <t>What it means</t>
  </si>
  <si>
    <t>Dates</t>
  </si>
  <si>
    <t>As-of date (last closed month)</t>
  </si>
  <si>
    <t>The last month that is closed. All year-to-date (YTD) numbers stop here.</t>
  </si>
  <si>
    <t>Fiscal year</t>
  </si>
  <si>
    <t>The budget year we are tracking. Runs January to December.</t>
  </si>
  <si>
    <t>Months closed so far</t>
  </si>
  <si>
    <t>How many months of the year are done. Figured from the as-of date.</t>
  </si>
  <si>
    <t>Cost of an employee   (yearly cost = base pay × cost multiplier)</t>
  </si>
  <si>
    <t>Benefits and payroll taxes</t>
  </si>
  <si>
    <t>Extra cost on top of base pay for health, 401(k), and payroll taxes.</t>
  </si>
  <si>
    <t>Target bonus: Level 1 (staff)</t>
  </si>
  <si>
    <t>Bonus as a % of base pay, accrued evenly each month. Illustrative.</t>
  </si>
  <si>
    <t>Target bonus: Level 2 (senior / analyst)</t>
  </si>
  <si>
    <t>Same as above, for Level 2 roles.</t>
  </si>
  <si>
    <t>Target bonus: Level 3 (manager)</t>
  </si>
  <si>
    <t>Same as above, for Level 3 roles.</t>
  </si>
  <si>
    <t>Target bonus: Level 4 (director)</t>
  </si>
  <si>
    <t>Same as above, for Level 4 roles.</t>
  </si>
  <si>
    <t>Expected bonus payout (% of target)</t>
  </si>
  <si>
    <t>Set below 100% if bonuses usually pay out under target. Applies to every level.</t>
  </si>
  <si>
    <t>Cost multiplier</t>
  </si>
  <si>
    <t>1 + benefits + bonus</t>
  </si>
  <si>
    <t>Hiring rules (used by the three checks)</t>
  </si>
  <si>
    <t>Pay tolerance</t>
  </si>
  <si>
    <t>How far above its reference pay an offer can be before Check 1 flags it.</t>
  </si>
  <si>
    <t>Department over-budget cushion</t>
  </si>
  <si>
    <t>How far over its budget a department can be before Check 3 flags a new hire. It's a % of each department's own budget, so it's fair to big and small teams.</t>
  </si>
  <si>
    <t>Next year (FY27)</t>
  </si>
  <si>
    <t>FY26 management fee revenue</t>
  </si>
  <si>
    <t>Organic revenue growth (same-community)</t>
  </si>
  <si>
    <t>Fee growth from communities we already manage (rate increases, occupancy). Illustrative.</t>
  </si>
  <si>
    <t>Payroll growth as % of organic revenue growth</t>
  </si>
  <si>
    <t>Acquisitions (inorganic)</t>
  </si>
  <si>
    <t>See Acquisitions tab</t>
  </si>
  <si>
    <t>Each deal brings its own revenue, inherited staff, and payroll allowance. The net room from all included deals flows to the dashboard.</t>
  </si>
  <si>
    <t>FY27 raise (merit)</t>
  </si>
  <si>
    <t>Yearly raise for staff. Illustrative: 4% blanket increase, as in past budgets.</t>
  </si>
  <si>
    <t>Raise start month</t>
  </si>
  <si>
    <t>Raise blend for the year</t>
  </si>
  <si>
    <t>Normal vacancy savings</t>
  </si>
  <si>
    <t>Money saved because some seats sit empty part of the year. Compare with the actual rate below. The dashboard shows FY27 room with and without it.</t>
  </si>
  <si>
    <t>For reference (formulas, don't change)</t>
  </si>
  <si>
    <t>Actual vacancy savings YTD</t>
  </si>
  <si>
    <t>What open seats have really saved so far this year, as a % of YTD budget.</t>
  </si>
  <si>
    <t>FY26 payroll budget as % of revenue</t>
  </si>
  <si>
    <t>Corporate payroll compared with revenue. Context only.</t>
  </si>
  <si>
    <t>Implied FY27 revenue growth (organic + acquisitions)</t>
  </si>
  <si>
    <t>Organic growth plus included acquisition revenue for the months owned in FY27.</t>
  </si>
  <si>
    <t>Payroll per $1 of new organic revenue</t>
  </si>
  <si>
    <t>FY26 budget, in-year dollars</t>
  </si>
  <si>
    <t>Seats budgeted to start mid-year count only from their start month. The dashboard uses the full-year run-rate instead (every seat for 12 months).</t>
  </si>
  <si>
    <t>Payroll coverage (tie this file to the GL)</t>
  </si>
  <si>
    <t>Total corporate payroll per GL / budget</t>
  </si>
  <si>
    <t>Illustrative: set equal to the two lines below so it ties. Type the real GL payroll over this cell; any gap shows in 'Not yet mapped'.</t>
  </si>
  <si>
    <t>Covered in this file (FY26 budget run-rate)</t>
  </si>
  <si>
    <t>The ~500 corporate staff whose hires go through the weekly approvals.</t>
  </si>
  <si>
    <t>C-suite and department heads</t>
  </si>
  <si>
    <t>Tracked in the full labor model with restricted access. Their hires don't go through the weekly meeting. Illustrative.</t>
  </si>
  <si>
    <t>Not yet mapped (confirm with accounting)</t>
  </si>
  <si>
    <t>GL payroll minus the two lines above. Should be zero once real GL data is in.</t>
  </si>
  <si>
    <t>Share of GL payroll covered by this file</t>
  </si>
  <si>
    <t>Covered ÷ GL payroll.</t>
  </si>
  <si>
    <t>Not included in this version</t>
  </si>
  <si>
    <t>Contractors and temps</t>
  </si>
  <si>
    <t>Not payroll</t>
  </si>
  <si>
    <t>1099 contractors are booked in contract services, not payroll: no bonus and no employer payroll taxes.</t>
  </si>
  <si>
    <t>Who should see this file</t>
  </si>
  <si>
    <t>Restricted</t>
  </si>
  <si>
    <t>Shows individual pay. Limit to the CFO, head of HR, and FP&amp;A. Department heads see only their own department's numbers.</t>
  </si>
  <si>
    <t>Color key (same on every tab)</t>
  </si>
  <si>
    <t>Blue text</t>
  </si>
  <si>
    <t>1,000</t>
  </si>
  <si>
    <t>An input: typed or pasted. The only cells you should change.</t>
  </si>
  <si>
    <t>Black text</t>
  </si>
  <si>
    <t>A formula that only uses cells on its own tab.</t>
  </si>
  <si>
    <t>Green text</t>
  </si>
  <si>
    <t>A formula that pulls from another tab (a link). Green does not mean good.</t>
  </si>
  <si>
    <t>Yellow cell</t>
  </si>
  <si>
    <t>A key setting (this tab).</t>
  </si>
  <si>
    <t>Green ▲ / red ▼</t>
  </si>
  <si>
    <r>
      <rPr>
        <sz val="10"/>
        <color rgb="FF00B050"/>
        <rFont val="Arial"/>
        <charset val="1"/>
      </rPr>
      <t>▲</t>
    </r>
    <r>
      <rPr>
        <sz val="10"/>
        <color rgb="FF000000"/>
        <rFont val="Arial"/>
        <charset val="1"/>
      </rPr>
      <t xml:space="preserve">   </t>
    </r>
    <r>
      <rPr>
        <sz val="10"/>
        <color rgb="FFC00000"/>
        <rFont val="Arial"/>
        <charset val="1"/>
      </rPr>
      <t>▼</t>
    </r>
  </si>
  <si>
    <t>Direction only: green up = under budget or room left, red down = over budget. No triangle = zero. Text color never changes with the sign.</t>
  </si>
  <si>
    <t>Decision colors</t>
  </si>
  <si>
    <t>Cell shading on the decision: green = Fast-track, light green = Approve, yellow = Review, red = Challenge.</t>
  </si>
  <si>
    <t>Acquisitions (inorganic growth)</t>
  </si>
  <si>
    <t>One row per management-company deal. Blue columns are inputs; the rest are formulas. Set 'Include?' to Yes to count a deal in FY27 payroll room.</t>
  </si>
  <si>
    <t>Enter these</t>
  </si>
  <si>
    <t>Formulas: don't type here</t>
  </si>
  <si>
    <t>Deal</t>
  </si>
  <si>
    <t>Include in FY27 room?</t>
  </si>
  <si>
    <t>Close month in FY27 (1–12)</t>
  </si>
  <si>
    <t>Annual management fee revenue</t>
  </si>
  <si>
    <t>Communities added</t>
  </si>
  <si>
    <t>Inherited corporate staff (#)</t>
  </si>
  <si>
    <t>Inherited corporate payroll (yearly, with benefits and bonus)</t>
  </si>
  <si>
    <t>Staff cost removed by combining teams</t>
  </si>
  <si>
    <t>Months until savings start</t>
  </si>
  <si>
    <t>One-time severance and integration cost</t>
  </si>
  <si>
    <t>Payroll allowed (% of acquired revenue)</t>
  </si>
  <si>
    <t>Months owned in FY27</t>
  </si>
  <si>
    <t>FY27 revenue</t>
  </si>
  <si>
    <t>Payroll allowed in FY27</t>
  </si>
  <si>
    <t>Inherited payroll kept in FY27</t>
  </si>
  <si>
    <t>Net payroll room from deal</t>
  </si>
  <si>
    <t>Used by requests (Pending + Approved)</t>
  </si>
  <si>
    <t>Deal room remaining</t>
  </si>
  <si>
    <t>Example: regional operator</t>
  </si>
  <si>
    <t>Yes</t>
  </si>
  <si>
    <t>Total included deals</t>
  </si>
  <si>
    <t>How to read it</t>
  </si>
  <si>
    <t>A deal adds revenue for the months we own it in FY27. We allow a set % of that revenue for corporate payroll, then subtract the inherited staff we keep and one-time severance. What's left (or short) adds to FY27 payroll room. All amounts are for the part of FY27 we own the deal.</t>
  </si>
  <si>
    <t>Requests it funds</t>
  </si>
  <si>
    <t>Type the deal name in 'Funded by deal' on the Requests tab. While the deal has room left, that request skips Checks 2 and 3 and uses up the deal's room for all of FY27, including any months before close (treated as integration cost).</t>
  </si>
  <si>
    <t>Payroll allowed %</t>
  </si>
  <si>
    <t>Staff cost removed</t>
  </si>
  <si>
    <t>Inherited roles we expect to cut or not backfill once teams are combined. Savings start after the months set in 'Months until savings start'.</t>
  </si>
  <si>
    <t>Department Summary</t>
  </si>
  <si>
    <t>Formulas only. Headroom = yearly budget minus committed yearly cost (people on payroll today + open seats still planned to fill). Negative = over budget, even if YTD looks good.</t>
  </si>
  <si>
    <t>Seats bridge: budget → today</t>
  </si>
  <si>
    <t>People bridge: Jan 1 → today</t>
  </si>
  <si>
    <t>Budgeted seats</t>
  </si>
  <si>
    <t>– Open: to fill</t>
  </si>
  <si>
    <t>– Open: on hold</t>
  </si>
  <si>
    <t>+ Unbudgeted hires on payroll</t>
  </si>
  <si>
    <t>Headcount Jan 1</t>
  </si>
  <si>
    <t>+ Hires YTD</t>
  </si>
  <si>
    <t>– Terms YTD</t>
  </si>
  <si>
    <t>FY26 budget (full-year run-rate)</t>
  </si>
  <si>
    <t>Committed yearly cost (today's people + open seats, full year)</t>
  </si>
  <si>
    <t>Headroom after filling open seats / (over)</t>
  </si>
  <si>
    <t>YTD budget</t>
  </si>
  <si>
    <t>YTD actual</t>
  </si>
  <si>
    <t>YTD under / (over) budget</t>
  </si>
  <si>
    <t>Temporary: open seats + on hold</t>
  </si>
  <si>
    <t>Ongoing: pay + unbudgeted hires</t>
  </si>
  <si>
    <t>Accounting &amp; Billing</t>
  </si>
  <si>
    <t>Finance &amp; Treasury</t>
  </si>
  <si>
    <t>IT &amp; Business Intelligence</t>
  </si>
  <si>
    <t>Human Resources</t>
  </si>
  <si>
    <t>Marketing</t>
  </si>
  <si>
    <t>Sales Support</t>
  </si>
  <si>
    <t>Operations Support</t>
  </si>
  <si>
    <t>Clinical Services</t>
  </si>
  <si>
    <t>Legal &amp; Compliance</t>
  </si>
  <si>
    <t>Business Development</t>
  </si>
  <si>
    <t>Design &amp; Development</t>
  </si>
  <si>
    <t>Total corporate</t>
  </si>
  <si>
    <t>Checks (every line should say OK)</t>
  </si>
  <si>
    <t>People on payroll match the Roster</t>
  </si>
  <si>
    <t>Roster formulas (J–O) copied down to every row</t>
  </si>
  <si>
    <t>Every Roster seat ID is on the Seats tab</t>
  </si>
  <si>
    <t>YTD actual cost matches the Seats tab</t>
  </si>
  <si>
    <t>FY26 budget matches the Seats tab</t>
  </si>
  <si>
    <t>Seats bridge: budgeted – open – hold + unbudgeted = filled today</t>
  </si>
  <si>
    <t>People bridge: Jan 1 headcount + hires – terms = filled today</t>
  </si>
  <si>
    <t>YTD variance splits fully into temporary + ongoing</t>
  </si>
  <si>
    <t>Seats: FY26 budget vs actual</t>
  </si>
  <si>
    <t>One row per seat. Paste the budget seat list in blue columns A–I. The rest are formulas (copy them down for new rows). Add unbudgeted hires as new rows with 'In FY26 budget?' = No. A Hold seat stays in the budget but out of committed cost.</t>
  </si>
  <si>
    <t>Enter / paste</t>
  </si>
  <si>
    <t>Seat ID</t>
  </si>
  <si>
    <t>Level</t>
  </si>
  <si>
    <t>In FY26 budget?</t>
  </si>
  <si>
    <t>Budget base pay</t>
  </si>
  <si>
    <t>Budget start month</t>
  </si>
  <si>
    <t>Plan for seat (Fill / Hold)</t>
  </si>
  <si>
    <t>Why the seat is on hold</t>
  </si>
  <si>
    <t>Cost multiplier (1 + benefits + bonus)</t>
  </si>
  <si>
    <t>Budget yearly cost (full-year run-rate)</t>
  </si>
  <si>
    <t>Budget months YTD</t>
  </si>
  <si>
    <t>Budget cost YTD</t>
  </si>
  <si>
    <t>Filled today? (1 = yes)</t>
  </si>
  <si>
    <t>Months filled YTD</t>
  </si>
  <si>
    <t>Actual cost YTD</t>
  </si>
  <si>
    <t>Current yearly cost</t>
  </si>
  <si>
    <t>Committed yearly cost (full year)</t>
  </si>
  <si>
    <t>Temporary: open-seat savings</t>
  </si>
  <si>
    <t>Ongoing: pay vs budget</t>
  </si>
  <si>
    <t>Ongoing: unbudgeted hire</t>
  </si>
  <si>
    <t>Last person's base pay</t>
  </si>
  <si>
    <t>ACC-001</t>
  </si>
  <si>
    <t>Accounting Manager</t>
  </si>
  <si>
    <t>Fill</t>
  </si>
  <si>
    <t>ACC-002</t>
  </si>
  <si>
    <t>Senior Accountant</t>
  </si>
  <si>
    <t>ACC-003</t>
  </si>
  <si>
    <t>ACC-004</t>
  </si>
  <si>
    <t>ACC-005</t>
  </si>
  <si>
    <t>Billing Specialist</t>
  </si>
  <si>
    <t>ACC-006</t>
  </si>
  <si>
    <t>Staff Accountant</t>
  </si>
  <si>
    <t>ACC-007</t>
  </si>
  <si>
    <t>ACC-008</t>
  </si>
  <si>
    <t>ACC-009</t>
  </si>
  <si>
    <t>ACC-010</t>
  </si>
  <si>
    <t>ACC-011</t>
  </si>
  <si>
    <t>ACC-012</t>
  </si>
  <si>
    <t>ACC-013</t>
  </si>
  <si>
    <t>ACC-014</t>
  </si>
  <si>
    <t>ACC-015</t>
  </si>
  <si>
    <t>ACC-016</t>
  </si>
  <si>
    <t>ACC-017</t>
  </si>
  <si>
    <t>ACC-018</t>
  </si>
  <si>
    <t>ACC-019</t>
  </si>
  <si>
    <t>ACC-020</t>
  </si>
  <si>
    <t>ACC-021</t>
  </si>
  <si>
    <t>ACC-022</t>
  </si>
  <si>
    <t>ACC-023</t>
  </si>
  <si>
    <t>ACC-024</t>
  </si>
  <si>
    <t>ACC-025</t>
  </si>
  <si>
    <t>ACC-026</t>
  </si>
  <si>
    <t>ACC-027</t>
  </si>
  <si>
    <t>ACC-028</t>
  </si>
  <si>
    <t>ACC-029</t>
  </si>
  <si>
    <t>ACC-030</t>
  </si>
  <si>
    <t>ACC-031</t>
  </si>
  <si>
    <t>ACC-032</t>
  </si>
  <si>
    <t>ACC-033</t>
  </si>
  <si>
    <t>ACC-034</t>
  </si>
  <si>
    <t>ACC-035</t>
  </si>
  <si>
    <t>ACC-036</t>
  </si>
  <si>
    <t>ACC-037</t>
  </si>
  <si>
    <t>ACC-038</t>
  </si>
  <si>
    <t>ACC-039</t>
  </si>
  <si>
    <t>ACC-040</t>
  </si>
  <si>
    <t>ACC-041</t>
  </si>
  <si>
    <t>ACC-042</t>
  </si>
  <si>
    <t>ACC-043</t>
  </si>
  <si>
    <t>ACC-044</t>
  </si>
  <si>
    <t>Assistant Controller</t>
  </si>
  <si>
    <t>ACC-045</t>
  </si>
  <si>
    <t>ACC-046</t>
  </si>
  <si>
    <t>ACC-047</t>
  </si>
  <si>
    <t>ACC-048</t>
  </si>
  <si>
    <t>ACC-049</t>
  </si>
  <si>
    <t>ACC-050</t>
  </si>
  <si>
    <t>ACC-051</t>
  </si>
  <si>
    <t>ACC-052</t>
  </si>
  <si>
    <t>ACC-053</t>
  </si>
  <si>
    <t>ACC-054</t>
  </si>
  <si>
    <t>ACC-055</t>
  </si>
  <si>
    <t>ACC-056</t>
  </si>
  <si>
    <t>ACC-057</t>
  </si>
  <si>
    <t>ACC-058</t>
  </si>
  <si>
    <t>ACC-059</t>
  </si>
  <si>
    <t>ACC-060</t>
  </si>
  <si>
    <t>ACC-061</t>
  </si>
  <si>
    <t>ACC-062</t>
  </si>
  <si>
    <t>ACC-063</t>
  </si>
  <si>
    <t>ACC-064</t>
  </si>
  <si>
    <t>ACC-065</t>
  </si>
  <si>
    <t>ACC-066</t>
  </si>
  <si>
    <t>ACC-067</t>
  </si>
  <si>
    <t>ACC-068</t>
  </si>
  <si>
    <t>ACC-069</t>
  </si>
  <si>
    <t>ACC-070</t>
  </si>
  <si>
    <t>ACC-071</t>
  </si>
  <si>
    <t>ACC-072</t>
  </si>
  <si>
    <t>ACC-073</t>
  </si>
  <si>
    <t>ACC-074</t>
  </si>
  <si>
    <t>ACC-075</t>
  </si>
  <si>
    <t>ACC-076</t>
  </si>
  <si>
    <t>ACC-077</t>
  </si>
  <si>
    <t>ACC-078</t>
  </si>
  <si>
    <t>ACC-079</t>
  </si>
  <si>
    <t>ACC-080</t>
  </si>
  <si>
    <t>ACC-081</t>
  </si>
  <si>
    <t>ACC-082</t>
  </si>
  <si>
    <t>ACC-083</t>
  </si>
  <si>
    <t>ACC-084</t>
  </si>
  <si>
    <t>ACC-085</t>
  </si>
  <si>
    <t>ACC-086</t>
  </si>
  <si>
    <t>ACC-087</t>
  </si>
  <si>
    <t>ACC-088</t>
  </si>
  <si>
    <t>ACC-089</t>
  </si>
  <si>
    <t>ACC-090</t>
  </si>
  <si>
    <t>ACC-091</t>
  </si>
  <si>
    <t>ACC-092</t>
  </si>
  <si>
    <t>ACC-093</t>
  </si>
  <si>
    <t>ACC-094</t>
  </si>
  <si>
    <t>ACC-095</t>
  </si>
  <si>
    <t>ACC-096</t>
  </si>
  <si>
    <t>ACC-097</t>
  </si>
  <si>
    <t>ACC-098</t>
  </si>
  <si>
    <t>ACC-099</t>
  </si>
  <si>
    <t>ACC-100</t>
  </si>
  <si>
    <t>ACC-101</t>
  </si>
  <si>
    <t>ACC-102</t>
  </si>
  <si>
    <t>ACC-103</t>
  </si>
  <si>
    <t>ACC-104</t>
  </si>
  <si>
    <t>ACC-105</t>
  </si>
  <si>
    <t>ACC-106</t>
  </si>
  <si>
    <t>ACC-107</t>
  </si>
  <si>
    <t>ACC-108</t>
  </si>
  <si>
    <t>ACC-109</t>
  </si>
  <si>
    <t>ACC-110</t>
  </si>
  <si>
    <t>ACC-111</t>
  </si>
  <si>
    <t>ACC-112</t>
  </si>
  <si>
    <t>ACC-113</t>
  </si>
  <si>
    <t>ACC-114</t>
  </si>
  <si>
    <t>No</t>
  </si>
  <si>
    <t>ACC-115</t>
  </si>
  <si>
    <t>BDV-001</t>
  </si>
  <si>
    <t>Integration Analyst</t>
  </si>
  <si>
    <t>BDV-002</t>
  </si>
  <si>
    <t>Transition Coordinator</t>
  </si>
  <si>
    <t>BDV-003</t>
  </si>
  <si>
    <t>BDV-004</t>
  </si>
  <si>
    <t>BDV-005</t>
  </si>
  <si>
    <t>Integration Manager</t>
  </si>
  <si>
    <t>BDV-006</t>
  </si>
  <si>
    <t>BDV-007</t>
  </si>
  <si>
    <t>BDV-008</t>
  </si>
  <si>
    <t>BDV-009</t>
  </si>
  <si>
    <t>BDV-010</t>
  </si>
  <si>
    <t>BDV-011</t>
  </si>
  <si>
    <t>BDV-012</t>
  </si>
  <si>
    <t>BDV-013</t>
  </si>
  <si>
    <t>BDV-014</t>
  </si>
  <si>
    <t>BDV-015</t>
  </si>
  <si>
    <t>BDV-016</t>
  </si>
  <si>
    <t>BDV-017</t>
  </si>
  <si>
    <t>BDV-018</t>
  </si>
  <si>
    <t>BDV-019</t>
  </si>
  <si>
    <t>BDV-020</t>
  </si>
  <si>
    <t>BDV-021</t>
  </si>
  <si>
    <t>BDV-022</t>
  </si>
  <si>
    <t>BDV-023</t>
  </si>
  <si>
    <t>BDV-024</t>
  </si>
  <si>
    <t>BDV-025</t>
  </si>
  <si>
    <t>BDV-026</t>
  </si>
  <si>
    <t>BDV-027</t>
  </si>
  <si>
    <t>BDV-028</t>
  </si>
  <si>
    <t>CLN-001</t>
  </si>
  <si>
    <t>Clinical Education Manager</t>
  </si>
  <si>
    <t>CLN-002</t>
  </si>
  <si>
    <t>Clinical Specialist</t>
  </si>
  <si>
    <t>CLN-003</t>
  </si>
  <si>
    <t>CLN-004</t>
  </si>
  <si>
    <t>CLN-005</t>
  </si>
  <si>
    <t>CLN-006</t>
  </si>
  <si>
    <t>CLN-007</t>
  </si>
  <si>
    <t>CLN-008</t>
  </si>
  <si>
    <t>CLN-009</t>
  </si>
  <si>
    <t>CLN-010</t>
  </si>
  <si>
    <t>CLN-011</t>
  </si>
  <si>
    <t>CLN-012</t>
  </si>
  <si>
    <t>CLN-013</t>
  </si>
  <si>
    <t>CLN-014</t>
  </si>
  <si>
    <t>Regional Clinical Director</t>
  </si>
  <si>
    <t>CLN-015</t>
  </si>
  <si>
    <t>CLN-016</t>
  </si>
  <si>
    <t>CLN-017</t>
  </si>
  <si>
    <t>CLN-018</t>
  </si>
  <si>
    <t>CLN-019</t>
  </si>
  <si>
    <t>CLN-020</t>
  </si>
  <si>
    <t>CLN-021</t>
  </si>
  <si>
    <t>CLN-022</t>
  </si>
  <si>
    <t>CLN-023</t>
  </si>
  <si>
    <t>CLN-024</t>
  </si>
  <si>
    <t>CLN-025</t>
  </si>
  <si>
    <t>CLN-026</t>
  </si>
  <si>
    <t>CLN-027</t>
  </si>
  <si>
    <t>CLN-028</t>
  </si>
  <si>
    <t>CLN-029</t>
  </si>
  <si>
    <t>CLN-030</t>
  </si>
  <si>
    <t>CLN-031</t>
  </si>
  <si>
    <t>CLN-032</t>
  </si>
  <si>
    <t>CLN-033</t>
  </si>
  <si>
    <t>CLN-034</t>
  </si>
  <si>
    <t>CLN-035</t>
  </si>
  <si>
    <t>CLN-036</t>
  </si>
  <si>
    <t>DDG-001</t>
  </si>
  <si>
    <t>Interior Designer</t>
  </si>
  <si>
    <t>DDG-002</t>
  </si>
  <si>
    <t>Design Coordinator</t>
  </si>
  <si>
    <t>DDG-003</t>
  </si>
  <si>
    <t>DDG-004</t>
  </si>
  <si>
    <t>DDG-005</t>
  </si>
  <si>
    <t>DDG-006</t>
  </si>
  <si>
    <t>Director, Design</t>
  </si>
  <si>
    <t>DDG-007</t>
  </si>
  <si>
    <t>DDG-008</t>
  </si>
  <si>
    <t>DDG-009</t>
  </si>
  <si>
    <t>Project Manager</t>
  </si>
  <si>
    <t>DDG-010</t>
  </si>
  <si>
    <t>DDG-011</t>
  </si>
  <si>
    <t>DDG-012</t>
  </si>
  <si>
    <t>DDG-013</t>
  </si>
  <si>
    <t>DDG-014</t>
  </si>
  <si>
    <t>DDG-015</t>
  </si>
  <si>
    <t>DDG-016</t>
  </si>
  <si>
    <t>DDG-017</t>
  </si>
  <si>
    <t>DDG-018</t>
  </si>
  <si>
    <t>DDG-019</t>
  </si>
  <si>
    <t>DDG-020</t>
  </si>
  <si>
    <t>DDG-021</t>
  </si>
  <si>
    <t>DDG-022</t>
  </si>
  <si>
    <t>DDG-023</t>
  </si>
  <si>
    <t>DDG-024</t>
  </si>
  <si>
    <t>DDG-025</t>
  </si>
  <si>
    <t>DDG-026</t>
  </si>
  <si>
    <t>DDG-027</t>
  </si>
  <si>
    <t>DDG-028</t>
  </si>
  <si>
    <t>DDG-029</t>
  </si>
  <si>
    <t>DDG-030</t>
  </si>
  <si>
    <t>DDG-031</t>
  </si>
  <si>
    <t>Held to fund request R10 (Design Coordinator)</t>
  </si>
  <si>
    <t>FIN-001</t>
  </si>
  <si>
    <t>Financial Analyst</t>
  </si>
  <si>
    <t>FIN-002</t>
  </si>
  <si>
    <t>Senior Financial Analyst</t>
  </si>
  <si>
    <t>FIN-003</t>
  </si>
  <si>
    <t>FIN-004</t>
  </si>
  <si>
    <t>FIN-005</t>
  </si>
  <si>
    <t>FIN-006</t>
  </si>
  <si>
    <t>Treasury Manager</t>
  </si>
  <si>
    <t>FIN-007</t>
  </si>
  <si>
    <t>FIN-008</t>
  </si>
  <si>
    <t>FIN-009</t>
  </si>
  <si>
    <t>FIN-010</t>
  </si>
  <si>
    <t>FIN-011</t>
  </si>
  <si>
    <t>FIN-012</t>
  </si>
  <si>
    <t>FIN-013</t>
  </si>
  <si>
    <t>FIN-014</t>
  </si>
  <si>
    <t>FIN-015</t>
  </si>
  <si>
    <t>FIN-016</t>
  </si>
  <si>
    <t>FIN-017</t>
  </si>
  <si>
    <t>FIN-018</t>
  </si>
  <si>
    <t>FIN-019</t>
  </si>
  <si>
    <t>FIN-020</t>
  </si>
  <si>
    <t>FIN-021</t>
  </si>
  <si>
    <t>FIN-022</t>
  </si>
  <si>
    <t>HRS-001</t>
  </si>
  <si>
    <t>Recruiter</t>
  </si>
  <si>
    <t>HRS-002</t>
  </si>
  <si>
    <t>HRS-003</t>
  </si>
  <si>
    <t>HR Coordinator</t>
  </si>
  <si>
    <t>HRS-004</t>
  </si>
  <si>
    <t>HR Generalist</t>
  </si>
  <si>
    <t>HRS-005</t>
  </si>
  <si>
    <t>HRS-006</t>
  </si>
  <si>
    <t>HRS-007</t>
  </si>
  <si>
    <t>HRS-008</t>
  </si>
  <si>
    <t>HRS-009</t>
  </si>
  <si>
    <t>HRS-010</t>
  </si>
  <si>
    <t>HRS-011</t>
  </si>
  <si>
    <t>HRS-012</t>
  </si>
  <si>
    <t>HR Manager</t>
  </si>
  <si>
    <t>HRS-013</t>
  </si>
  <si>
    <t>HRS-014</t>
  </si>
  <si>
    <t>HRS-015</t>
  </si>
  <si>
    <t>HRS-016</t>
  </si>
  <si>
    <t>HRS-017</t>
  </si>
  <si>
    <t>HRS-018</t>
  </si>
  <si>
    <t>HRS-019</t>
  </si>
  <si>
    <t>HRS-020</t>
  </si>
  <si>
    <t>HRS-021</t>
  </si>
  <si>
    <t>HRS-022</t>
  </si>
  <si>
    <t>HRS-023</t>
  </si>
  <si>
    <t>HRS-024</t>
  </si>
  <si>
    <t>HRS-025</t>
  </si>
  <si>
    <t>HRS-026</t>
  </si>
  <si>
    <t>HRS-027</t>
  </si>
  <si>
    <t>HRS-028</t>
  </si>
  <si>
    <t>HRS-029</t>
  </si>
  <si>
    <t>HRS-030</t>
  </si>
  <si>
    <t>HRS-031</t>
  </si>
  <si>
    <t>HRS-032</t>
  </si>
  <si>
    <t>HRS-033</t>
  </si>
  <si>
    <t>HRS-034</t>
  </si>
  <si>
    <t>HRS-035</t>
  </si>
  <si>
    <t>HRS-036</t>
  </si>
  <si>
    <t>ITB-001</t>
  </si>
  <si>
    <t>Systems Analyst</t>
  </si>
  <si>
    <t>ITB-002</t>
  </si>
  <si>
    <t>Help Desk Specialist</t>
  </si>
  <si>
    <t>ITB-003</t>
  </si>
  <si>
    <t>ITB-004</t>
  </si>
  <si>
    <t>ITB-005</t>
  </si>
  <si>
    <t>ITB-006</t>
  </si>
  <si>
    <t>ITB-007</t>
  </si>
  <si>
    <t>ITB-008</t>
  </si>
  <si>
    <t>ITB-009</t>
  </si>
  <si>
    <t>ITB-010</t>
  </si>
  <si>
    <t>IT Manager</t>
  </si>
  <si>
    <t>ITB-011</t>
  </si>
  <si>
    <t>ITB-012</t>
  </si>
  <si>
    <t>BI Developer</t>
  </si>
  <si>
    <t>ITB-013</t>
  </si>
  <si>
    <t>ITB-014</t>
  </si>
  <si>
    <t>ITB-015</t>
  </si>
  <si>
    <t>ITB-016</t>
  </si>
  <si>
    <t>ITB-017</t>
  </si>
  <si>
    <t>ITB-018</t>
  </si>
  <si>
    <t>ITB-019</t>
  </si>
  <si>
    <t>Director, IT</t>
  </si>
  <si>
    <t>ITB-020</t>
  </si>
  <si>
    <t>ITB-021</t>
  </si>
  <si>
    <t>ITB-022</t>
  </si>
  <si>
    <t>ITB-023</t>
  </si>
  <si>
    <t>ITB-024</t>
  </si>
  <si>
    <t>ITB-025</t>
  </si>
  <si>
    <t>ITB-026</t>
  </si>
  <si>
    <t>ITB-027</t>
  </si>
  <si>
    <t>ITB-028</t>
  </si>
  <si>
    <t>ITB-029</t>
  </si>
  <si>
    <t>ITB-030</t>
  </si>
  <si>
    <t>ITB-031</t>
  </si>
  <si>
    <t>ITB-032</t>
  </si>
  <si>
    <t>ITB-033</t>
  </si>
  <si>
    <t>ITB-034</t>
  </si>
  <si>
    <t>ITB-035</t>
  </si>
  <si>
    <t>ITB-036</t>
  </si>
  <si>
    <t>ITB-037</t>
  </si>
  <si>
    <t>ITB-038</t>
  </si>
  <si>
    <t>ITB-039</t>
  </si>
  <si>
    <t>ITB-040</t>
  </si>
  <si>
    <t>ITB-041</t>
  </si>
  <si>
    <t>ITB-042</t>
  </si>
  <si>
    <t>ITB-043</t>
  </si>
  <si>
    <t>ITB-044</t>
  </si>
  <si>
    <t>ITB-045</t>
  </si>
  <si>
    <t>ITB-046</t>
  </si>
  <si>
    <t>ITB-047</t>
  </si>
  <si>
    <t>ITB-048</t>
  </si>
  <si>
    <t>ITB-049</t>
  </si>
  <si>
    <t>ITB-050</t>
  </si>
  <si>
    <t>ITB-051</t>
  </si>
  <si>
    <t>ITB-052</t>
  </si>
  <si>
    <t>ITB-053</t>
  </si>
  <si>
    <t>ITB-054</t>
  </si>
  <si>
    <t>ITB-055</t>
  </si>
  <si>
    <t>ITB-056</t>
  </si>
  <si>
    <t>ITB-057</t>
  </si>
  <si>
    <t>ITB-058</t>
  </si>
  <si>
    <t>ITB-059</t>
  </si>
  <si>
    <t>ITB-060</t>
  </si>
  <si>
    <t>ITB-061</t>
  </si>
  <si>
    <t>ITB-062</t>
  </si>
  <si>
    <t>ITB-063</t>
  </si>
  <si>
    <t>ITB-064</t>
  </si>
  <si>
    <t>ITB-065</t>
  </si>
  <si>
    <t>ITB-066</t>
  </si>
  <si>
    <t>ITB-067</t>
  </si>
  <si>
    <t>ITB-068</t>
  </si>
  <si>
    <t>Same role hired into unbudgeted seat ITB-070 (Apr)</t>
  </si>
  <si>
    <t>ITB-069</t>
  </si>
  <si>
    <t>Same role hired into unbudgeted seat ITB-071 (Jun)</t>
  </si>
  <si>
    <t>ITB-070</t>
  </si>
  <si>
    <t>ITB-071</t>
  </si>
  <si>
    <t>LGL-001</t>
  </si>
  <si>
    <t>Compliance Specialist</t>
  </si>
  <si>
    <t>LGL-002</t>
  </si>
  <si>
    <t>Paralegal</t>
  </si>
  <si>
    <t>LGL-003</t>
  </si>
  <si>
    <t>LGL-004</t>
  </si>
  <si>
    <t>Senior Counsel</t>
  </si>
  <si>
    <t>LGL-005</t>
  </si>
  <si>
    <t>Compliance Manager</t>
  </si>
  <si>
    <t>LGL-006</t>
  </si>
  <si>
    <t>LGL-007</t>
  </si>
  <si>
    <t>LGL-008</t>
  </si>
  <si>
    <t>LGL-009</t>
  </si>
  <si>
    <t>LGL-010</t>
  </si>
  <si>
    <t>LGL-011</t>
  </si>
  <si>
    <t>LGL-012</t>
  </si>
  <si>
    <t>LGL-013</t>
  </si>
  <si>
    <t>LGL-014</t>
  </si>
  <si>
    <t>LGL-015</t>
  </si>
  <si>
    <t>LGL-016</t>
  </si>
  <si>
    <t>LGL-017</t>
  </si>
  <si>
    <t>LGL-018</t>
  </si>
  <si>
    <t>MKT-001</t>
  </si>
  <si>
    <t>Marketing Coordinator</t>
  </si>
  <si>
    <t>MKT-002</t>
  </si>
  <si>
    <t>MKT-003</t>
  </si>
  <si>
    <t>MKT-004</t>
  </si>
  <si>
    <t>Digital Marketing Specialist</t>
  </si>
  <si>
    <t>MKT-005</t>
  </si>
  <si>
    <t>MKT-006</t>
  </si>
  <si>
    <t>MKT-007</t>
  </si>
  <si>
    <t>Marketing Manager</t>
  </si>
  <si>
    <t>MKT-008</t>
  </si>
  <si>
    <t>MKT-009</t>
  </si>
  <si>
    <t>MKT-010</t>
  </si>
  <si>
    <t>MKT-011</t>
  </si>
  <si>
    <t>MKT-012</t>
  </si>
  <si>
    <t>MKT-013</t>
  </si>
  <si>
    <t>MKT-014</t>
  </si>
  <si>
    <t>MKT-015</t>
  </si>
  <si>
    <t>MKT-016</t>
  </si>
  <si>
    <t>MKT-017</t>
  </si>
  <si>
    <t>MKT-018</t>
  </si>
  <si>
    <t>MKT-019</t>
  </si>
  <si>
    <t>MKT-020</t>
  </si>
  <si>
    <t>MKT-021</t>
  </si>
  <si>
    <t>MKT-022</t>
  </si>
  <si>
    <t>MKT-023</t>
  </si>
  <si>
    <t>MKT-024</t>
  </si>
  <si>
    <t>MKT-025</t>
  </si>
  <si>
    <t>MKT-026</t>
  </si>
  <si>
    <t>MKT-027</t>
  </si>
  <si>
    <t>MKT-028</t>
  </si>
  <si>
    <t>MKT-029</t>
  </si>
  <si>
    <t>MKT-030</t>
  </si>
  <si>
    <t>MKT-031</t>
  </si>
  <si>
    <t>MKT-032</t>
  </si>
  <si>
    <t>OPS-001</t>
  </si>
  <si>
    <t>Regional Operations Analyst</t>
  </si>
  <si>
    <t>OPS-002</t>
  </si>
  <si>
    <t>Operations Manager</t>
  </si>
  <si>
    <t>OPS-003</t>
  </si>
  <si>
    <t>Operations Specialist</t>
  </si>
  <si>
    <t>OPS-004</t>
  </si>
  <si>
    <t>OPS-005</t>
  </si>
  <si>
    <t>OPS-006</t>
  </si>
  <si>
    <t>OPS-007</t>
  </si>
  <si>
    <t>OPS-008</t>
  </si>
  <si>
    <t>OPS-009</t>
  </si>
  <si>
    <t>OPS-010</t>
  </si>
  <si>
    <t>OPS-011</t>
  </si>
  <si>
    <t>OPS-012</t>
  </si>
  <si>
    <t>OPS-013</t>
  </si>
  <si>
    <t>OPS-014</t>
  </si>
  <si>
    <t>Director, Operations</t>
  </si>
  <si>
    <t>OPS-015</t>
  </si>
  <si>
    <t>OPS-016</t>
  </si>
  <si>
    <t>OPS-017</t>
  </si>
  <si>
    <t>OPS-018</t>
  </si>
  <si>
    <t>OPS-019</t>
  </si>
  <si>
    <t>Held to offset unbudgeted hire OPS-074</t>
  </si>
  <si>
    <t>OPS-020</t>
  </si>
  <si>
    <t>OPS-021</t>
  </si>
  <si>
    <t>OPS-022</t>
  </si>
  <si>
    <t>OPS-023</t>
  </si>
  <si>
    <t>OPS-024</t>
  </si>
  <si>
    <t>OPS-025</t>
  </si>
  <si>
    <t>OPS-026</t>
  </si>
  <si>
    <t>OPS-027</t>
  </si>
  <si>
    <t>OPS-028</t>
  </si>
  <si>
    <t>OPS-029</t>
  </si>
  <si>
    <t>OPS-030</t>
  </si>
  <si>
    <t>OPS-031</t>
  </si>
  <si>
    <t>OPS-032</t>
  </si>
  <si>
    <t>OPS-033</t>
  </si>
  <si>
    <t>OPS-034</t>
  </si>
  <si>
    <t>OPS-035</t>
  </si>
  <si>
    <t>OPS-036</t>
  </si>
  <si>
    <t>OPS-037</t>
  </si>
  <si>
    <t>OPS-038</t>
  </si>
  <si>
    <t>OPS-039</t>
  </si>
  <si>
    <t>OPS-040</t>
  </si>
  <si>
    <t>OPS-041</t>
  </si>
  <si>
    <t>OPS-042</t>
  </si>
  <si>
    <t>OPS-043</t>
  </si>
  <si>
    <t>OPS-044</t>
  </si>
  <si>
    <t>OPS-045</t>
  </si>
  <si>
    <t>OPS-046</t>
  </si>
  <si>
    <t>OPS-047</t>
  </si>
  <si>
    <t>OPS-048</t>
  </si>
  <si>
    <t>OPS-049</t>
  </si>
  <si>
    <t>OPS-050</t>
  </si>
  <si>
    <t>OPS-051</t>
  </si>
  <si>
    <t>OPS-052</t>
  </si>
  <si>
    <t>OPS-053</t>
  </si>
  <si>
    <t>OPS-054</t>
  </si>
  <si>
    <t>OPS-055</t>
  </si>
  <si>
    <t>OPS-056</t>
  </si>
  <si>
    <t>OPS-057</t>
  </si>
  <si>
    <t>OPS-058</t>
  </si>
  <si>
    <t>OPS-059</t>
  </si>
  <si>
    <t>OPS-060</t>
  </si>
  <si>
    <t>OPS-061</t>
  </si>
  <si>
    <t>OPS-062</t>
  </si>
  <si>
    <t>OPS-063</t>
  </si>
  <si>
    <t>OPS-064</t>
  </si>
  <si>
    <t>OPS-065</t>
  </si>
  <si>
    <t>OPS-066</t>
  </si>
  <si>
    <t>OPS-067</t>
  </si>
  <si>
    <t>OPS-068</t>
  </si>
  <si>
    <t>OPS-069</t>
  </si>
  <si>
    <t>OPS-070</t>
  </si>
  <si>
    <t>OPS-071</t>
  </si>
  <si>
    <t>OPS-072</t>
  </si>
  <si>
    <t>OPS-073</t>
  </si>
  <si>
    <t>OPS-074</t>
  </si>
  <si>
    <t>SLS-001</t>
  </si>
  <si>
    <t>Sales Coordinator</t>
  </si>
  <si>
    <t>SLS-002</t>
  </si>
  <si>
    <t>CRM Analyst</t>
  </si>
  <si>
    <t>SLS-003</t>
  </si>
  <si>
    <t>Sales Enablement Manager</t>
  </si>
  <si>
    <t>SLS-004</t>
  </si>
  <si>
    <t>SLS-005</t>
  </si>
  <si>
    <t>SLS-006</t>
  </si>
  <si>
    <t>SLS-007</t>
  </si>
  <si>
    <t>SLS-008</t>
  </si>
  <si>
    <t>SLS-009</t>
  </si>
  <si>
    <t>SLS-010</t>
  </si>
  <si>
    <t>SLS-011</t>
  </si>
  <si>
    <t>SLS-012</t>
  </si>
  <si>
    <t>SLS-013</t>
  </si>
  <si>
    <t>SLS-014</t>
  </si>
  <si>
    <t>SLS-015</t>
  </si>
  <si>
    <t>SLS-016</t>
  </si>
  <si>
    <t>SLS-017</t>
  </si>
  <si>
    <t>SLS-018</t>
  </si>
  <si>
    <t>SLS-019</t>
  </si>
  <si>
    <t>SLS-020</t>
  </si>
  <si>
    <t>SLS-021</t>
  </si>
  <si>
    <t>SLS-022</t>
  </si>
  <si>
    <t>SLS-023</t>
  </si>
  <si>
    <t>SLS-024</t>
  </si>
  <si>
    <t>SLS-025</t>
  </si>
  <si>
    <t>SLS-026</t>
  </si>
  <si>
    <t>SLS-027</t>
  </si>
  <si>
    <t>SLS-028</t>
  </si>
  <si>
    <t>SLS-029</t>
  </si>
  <si>
    <t>SLS-030</t>
  </si>
  <si>
    <t>SLS-031</t>
  </si>
  <si>
    <t>SLS-032</t>
  </si>
  <si>
    <t>SLS-033</t>
  </si>
  <si>
    <t>SLS-034</t>
  </si>
  <si>
    <t>SLS-035</t>
  </si>
  <si>
    <t>SLS-036</t>
  </si>
  <si>
    <t>SLS-037</t>
  </si>
  <si>
    <t>SLS-038</t>
  </si>
  <si>
    <t>SLS-039</t>
  </si>
  <si>
    <t>SLS-040</t>
  </si>
  <si>
    <t>SLS-041</t>
  </si>
  <si>
    <t>SLS-042</t>
  </si>
  <si>
    <t>SLS-043</t>
  </si>
  <si>
    <t>SLS-044</t>
  </si>
  <si>
    <t>SLS-045</t>
  </si>
  <si>
    <t>SLS-046</t>
  </si>
  <si>
    <t>SLS-047</t>
  </si>
  <si>
    <t>SLS-048</t>
  </si>
  <si>
    <t>SLS-049</t>
  </si>
  <si>
    <t>SLS-050</t>
  </si>
  <si>
    <t>SLS-051</t>
  </si>
  <si>
    <t>SLS-052</t>
  </si>
  <si>
    <t>SLS-053</t>
  </si>
  <si>
    <t>SLS-054</t>
  </si>
  <si>
    <t>SLS-055</t>
  </si>
  <si>
    <t>SLS-056</t>
  </si>
  <si>
    <t>SLS-057</t>
  </si>
  <si>
    <t>SLS-058</t>
  </si>
  <si>
    <t>SLS-059</t>
  </si>
  <si>
    <t>Hiring Requests</t>
  </si>
  <si>
    <t>Type each request into the blue columns A–M. Everything to the right is a formula. After the meeting, change Status. If an acquisition pays for a hire, type the deal name in column M.</t>
  </si>
  <si>
    <t>Enter these (from the request form)</t>
  </si>
  <si>
    <t>Checks (1 = flagged)</t>
  </si>
  <si>
    <t>Req ID</t>
  </si>
  <si>
    <t>Submitted</t>
  </si>
  <si>
    <t>Seat ID (if in budget)</t>
  </si>
  <si>
    <t>Proposed base pay (offer)</t>
  </si>
  <si>
    <t>Target start</t>
  </si>
  <si>
    <t>Market midpoint (new unbudgeted seats)</t>
  </si>
  <si>
    <t>Note from requester</t>
  </si>
  <si>
    <t>Funded by deal (name from Acquisitions tab)</t>
  </si>
  <si>
    <t>In budget?</t>
  </si>
  <si>
    <t>Reference pay</t>
  </si>
  <si>
    <t>Reference is...</t>
  </si>
  <si>
    <t>Pay vs reference</t>
  </si>
  <si>
    <t>FY26 months</t>
  </si>
  <si>
    <t>FY26 cost</t>
  </si>
  <si>
    <t>Seat budget already counted</t>
  </si>
  <si>
    <t>Added yearly cost vs plan</t>
  </si>
  <si>
    <t>FY27 added cost (with raise)</t>
  </si>
  <si>
    <t>Dept headroom before this hire</t>
  </si>
  <si>
    <t>Funded by acquisition room? (1 = yes)</t>
  </si>
  <si>
    <t>Months before deal closes (FY27)</t>
  </si>
  <si>
    <t>Pre-close cost (FY27)</t>
  </si>
  <si>
    <t>Flags</t>
  </si>
  <si>
    <t>Recommended action</t>
  </si>
  <si>
    <t>Queue order (helper)</t>
  </si>
  <si>
    <t>Order before Check 3 (helper)</t>
  </si>
  <si>
    <t>R01</t>
  </si>
  <si>
    <t>Replacement</t>
  </si>
  <si>
    <t>Backfill for resignation</t>
  </si>
  <si>
    <t>Pending</t>
  </si>
  <si>
    <t>R02</t>
  </si>
  <si>
    <t>Backfill; top candidate has competing offer</t>
  </si>
  <si>
    <t>R03</t>
  </si>
  <si>
    <t>Net-new</t>
  </si>
  <si>
    <t>Budgeted FY26 seat; supports data consolidation</t>
  </si>
  <si>
    <t>R04</t>
  </si>
  <si>
    <t>Data Engineer</t>
  </si>
  <si>
    <t>Unbudgeted; data platform migration</t>
  </si>
  <si>
    <t>R05</t>
  </si>
  <si>
    <t>Unbudgeted; volume from new management companies</t>
  </si>
  <si>
    <t>R06</t>
  </si>
  <si>
    <t>Backfill for internal transfer</t>
  </si>
  <si>
    <t>R07</t>
  </si>
  <si>
    <t>Budgeted seat; candidate above budget line</t>
  </si>
  <si>
    <t>R08</t>
  </si>
  <si>
    <t>Unbudgeted; onboarding for acquired communities</t>
  </si>
  <si>
    <t>R09</t>
  </si>
  <si>
    <t>Budgeted FY26 seat</t>
  </si>
  <si>
    <t>R10</t>
  </si>
  <si>
    <t>Unbudgeted; offset by holding the Interior Designer seat</t>
  </si>
  <si>
    <t>R11</t>
  </si>
  <si>
    <t>R12</t>
  </si>
  <si>
    <t>Budgeted FY26 seat; candidate slightly above budget line</t>
  </si>
  <si>
    <t>Corporate Roster (HRIS export)</t>
  </si>
  <si>
    <t>Paste the HRIS export in A–H (include people who left this year). Then copy the formulas in J–O down to the last row. Room for 1,500 rows.</t>
  </si>
  <si>
    <t>Paste the HRIS export here (A–H)</t>
  </si>
  <si>
    <t>Formulas: after pasting, copy J–O down to the last roster row</t>
  </si>
  <si>
    <t>Employee ID</t>
  </si>
  <si>
    <t>Hire date</t>
  </si>
  <si>
    <t>Term date</t>
  </si>
  <si>
    <t>Base salary</t>
  </si>
  <si>
    <t>First month paid this year</t>
  </si>
  <si>
    <t>Last month paid this year</t>
  </si>
  <si>
    <t>Months paid YTD</t>
  </si>
  <si>
    <t>Base paid YTD (base × months ÷ 12)</t>
  </si>
  <si>
    <t>On payroll today? (1 = yes)</t>
  </si>
  <si>
    <t>Base if on payroll today</t>
  </si>
  <si>
    <t>E1001</t>
  </si>
  <si>
    <t>E1002</t>
  </si>
  <si>
    <t>E1003</t>
  </si>
  <si>
    <t>E1004</t>
  </si>
  <si>
    <t>E1005</t>
  </si>
  <si>
    <t>E1006</t>
  </si>
  <si>
    <t>E1007</t>
  </si>
  <si>
    <t>E1008</t>
  </si>
  <si>
    <t>E1009</t>
  </si>
  <si>
    <t>E1010</t>
  </si>
  <si>
    <t>E1011</t>
  </si>
  <si>
    <t>E1012</t>
  </si>
  <si>
    <t>E1013</t>
  </si>
  <si>
    <t>E1014</t>
  </si>
  <si>
    <t>E1015</t>
  </si>
  <si>
    <t>E1016</t>
  </si>
  <si>
    <t>E1017</t>
  </si>
  <si>
    <t>E1018</t>
  </si>
  <si>
    <t>E1019</t>
  </si>
  <si>
    <t>E1020</t>
  </si>
  <si>
    <t>E1021</t>
  </si>
  <si>
    <t>E1022</t>
  </si>
  <si>
    <t>E1023</t>
  </si>
  <si>
    <t>E1024</t>
  </si>
  <si>
    <t>E1025</t>
  </si>
  <si>
    <t>E1026</t>
  </si>
  <si>
    <t>E1027</t>
  </si>
  <si>
    <t>E1028</t>
  </si>
  <si>
    <t>E1029</t>
  </si>
  <si>
    <t>E1030</t>
  </si>
  <si>
    <t>E1031</t>
  </si>
  <si>
    <t>E1032</t>
  </si>
  <si>
    <t>E1033</t>
  </si>
  <si>
    <t>E1034</t>
  </si>
  <si>
    <t>E1035</t>
  </si>
  <si>
    <t>E1036</t>
  </si>
  <si>
    <t>E1037</t>
  </si>
  <si>
    <t>E1496</t>
  </si>
  <si>
    <t>E1038</t>
  </si>
  <si>
    <t>E1039</t>
  </si>
  <si>
    <t>E1040</t>
  </si>
  <si>
    <t>E1494</t>
  </si>
  <si>
    <t>E1041</t>
  </si>
  <si>
    <t>E1042</t>
  </si>
  <si>
    <t>E1043</t>
  </si>
  <si>
    <t>E1044</t>
  </si>
  <si>
    <t>E1045</t>
  </si>
  <si>
    <t>E1046</t>
  </si>
  <si>
    <t>E1047</t>
  </si>
  <si>
    <t>E1048</t>
  </si>
  <si>
    <t>E1049</t>
  </si>
  <si>
    <t>E1050</t>
  </si>
  <si>
    <t>E1051</t>
  </si>
  <si>
    <t>E1497</t>
  </si>
  <si>
    <t>E1052</t>
  </si>
  <si>
    <t>E1053</t>
  </si>
  <si>
    <t>E1054</t>
  </si>
  <si>
    <t>E1055</t>
  </si>
  <si>
    <t>E1056</t>
  </si>
  <si>
    <t>E1057</t>
  </si>
  <si>
    <t>E1058</t>
  </si>
  <si>
    <t>E1059</t>
  </si>
  <si>
    <t>E1060</t>
  </si>
  <si>
    <t>E1061</t>
  </si>
  <si>
    <t>E1062</t>
  </si>
  <si>
    <t>E1063</t>
  </si>
  <si>
    <t>E1064</t>
  </si>
  <si>
    <t>E1065</t>
  </si>
  <si>
    <t>E1066</t>
  </si>
  <si>
    <t>E1067</t>
  </si>
  <si>
    <t>E1068</t>
  </si>
  <si>
    <t>E1069</t>
  </si>
  <si>
    <t>E1070</t>
  </si>
  <si>
    <t>E1071</t>
  </si>
  <si>
    <t>E1072</t>
  </si>
  <si>
    <t>E1073</t>
  </si>
  <si>
    <t>E1074</t>
  </si>
  <si>
    <t>E1075</t>
  </si>
  <si>
    <t>E1076</t>
  </si>
  <si>
    <t>E1077</t>
  </si>
  <si>
    <t>E1078</t>
  </si>
  <si>
    <t>E1079</t>
  </si>
  <si>
    <t>E1080</t>
  </si>
  <si>
    <t>E1081</t>
  </si>
  <si>
    <t>E1082</t>
  </si>
  <si>
    <t>E1083</t>
  </si>
  <si>
    <t>E1084</t>
  </si>
  <si>
    <t>E1085</t>
  </si>
  <si>
    <t>E1086</t>
  </si>
  <si>
    <t>E1087</t>
  </si>
  <si>
    <t>E1088</t>
  </si>
  <si>
    <t>E1089</t>
  </si>
  <si>
    <t>E1090</t>
  </si>
  <si>
    <t>E1091</t>
  </si>
  <si>
    <t>E1092</t>
  </si>
  <si>
    <t>E1093</t>
  </si>
  <si>
    <t>E1094</t>
  </si>
  <si>
    <t>E1095</t>
  </si>
  <si>
    <t>E1096</t>
  </si>
  <si>
    <t>E1097</t>
  </si>
  <si>
    <t>E1495</t>
  </si>
  <si>
    <t>E1098</t>
  </si>
  <si>
    <t>E1099</t>
  </si>
  <si>
    <t>E1100</t>
  </si>
  <si>
    <t>E1101</t>
  </si>
  <si>
    <t>E1102</t>
  </si>
  <si>
    <t>E1103</t>
  </si>
  <si>
    <t>E1104</t>
  </si>
  <si>
    <t>E1105</t>
  </si>
  <si>
    <t>E1106</t>
  </si>
  <si>
    <t>E1107</t>
  </si>
  <si>
    <t>E1108</t>
  </si>
  <si>
    <t>E1109</t>
  </si>
  <si>
    <t>E1110</t>
  </si>
  <si>
    <t>E1514</t>
  </si>
  <si>
    <t>E1515</t>
  </si>
  <si>
    <t>E1530</t>
  </si>
  <si>
    <t>E1531</t>
  </si>
  <si>
    <t>E1439</t>
  </si>
  <si>
    <t>E1440</t>
  </si>
  <si>
    <t>E1441</t>
  </si>
  <si>
    <t>E1442</t>
  </si>
  <si>
    <t>E1443</t>
  </si>
  <si>
    <t>E1444</t>
  </si>
  <si>
    <t>E1445</t>
  </si>
  <si>
    <t>E1446</t>
  </si>
  <si>
    <t>E1447</t>
  </si>
  <si>
    <t>E1511</t>
  </si>
  <si>
    <t>E1448</t>
  </si>
  <si>
    <t>E1449</t>
  </si>
  <si>
    <t>E1450</t>
  </si>
  <si>
    <t>E1451</t>
  </si>
  <si>
    <t>E1452</t>
  </si>
  <si>
    <t>E1453</t>
  </si>
  <si>
    <t>E1454</t>
  </si>
  <si>
    <t>E1455</t>
  </si>
  <si>
    <t>E1456</t>
  </si>
  <si>
    <t>E1457</t>
  </si>
  <si>
    <t>E1458</t>
  </si>
  <si>
    <t>E1459</t>
  </si>
  <si>
    <t>E1460</t>
  </si>
  <si>
    <t>E1461</t>
  </si>
  <si>
    <t>E1462</t>
  </si>
  <si>
    <t>E1463</t>
  </si>
  <si>
    <t>E1522</t>
  </si>
  <si>
    <t>E1523</t>
  </si>
  <si>
    <t>E1533</t>
  </si>
  <si>
    <t>E1386</t>
  </si>
  <si>
    <t>E1387</t>
  </si>
  <si>
    <t>E1388</t>
  </si>
  <si>
    <t>E1389</t>
  </si>
  <si>
    <t>E1390</t>
  </si>
  <si>
    <t>E1391</t>
  </si>
  <si>
    <t>E1392</t>
  </si>
  <si>
    <t>E1393</t>
  </si>
  <si>
    <t>E1394</t>
  </si>
  <si>
    <t>E1395</t>
  </si>
  <si>
    <t>E1396</t>
  </si>
  <si>
    <t>E1397</t>
  </si>
  <si>
    <t>E1398</t>
  </si>
  <si>
    <t>E1399</t>
  </si>
  <si>
    <t>E1400</t>
  </si>
  <si>
    <t>E1401</t>
  </si>
  <si>
    <t>E1402</t>
  </si>
  <si>
    <t>E1403</t>
  </si>
  <si>
    <t>E1404</t>
  </si>
  <si>
    <t>E1405</t>
  </si>
  <si>
    <t>E1406</t>
  </si>
  <si>
    <t>E1407</t>
  </si>
  <si>
    <t>E1408</t>
  </si>
  <si>
    <t>E1409</t>
  </si>
  <si>
    <t>E1410</t>
  </si>
  <si>
    <t>E1411</t>
  </si>
  <si>
    <t>E1412</t>
  </si>
  <si>
    <t>E1413</t>
  </si>
  <si>
    <t>E1414</t>
  </si>
  <si>
    <t>E1415</t>
  </si>
  <si>
    <t>E1416</t>
  </si>
  <si>
    <t>E1417</t>
  </si>
  <si>
    <t>E1418</t>
  </si>
  <si>
    <t>E1419</t>
  </si>
  <si>
    <t>E1509</t>
  </si>
  <si>
    <t>E1420</t>
  </si>
  <si>
    <t>E1521</t>
  </si>
  <si>
    <t>E1464</t>
  </si>
  <si>
    <t>E1465</t>
  </si>
  <si>
    <t>E1466</t>
  </si>
  <si>
    <t>E1467</t>
  </si>
  <si>
    <t>E1468</t>
  </si>
  <si>
    <t>E1469</t>
  </si>
  <si>
    <t>E1470</t>
  </si>
  <si>
    <t>E1512</t>
  </si>
  <si>
    <t>E1471</t>
  </si>
  <si>
    <t>E1472</t>
  </si>
  <si>
    <t>E1473</t>
  </si>
  <si>
    <t>E1474</t>
  </si>
  <si>
    <t>E1475</t>
  </si>
  <si>
    <t>E1476</t>
  </si>
  <si>
    <t>E1477</t>
  </si>
  <si>
    <t>E1478</t>
  </si>
  <si>
    <t>E1479</t>
  </si>
  <si>
    <t>E1480</t>
  </si>
  <si>
    <t>E1481</t>
  </si>
  <si>
    <t>E1482</t>
  </si>
  <si>
    <t>E1483</t>
  </si>
  <si>
    <t>E1484</t>
  </si>
  <si>
    <t>E1485</t>
  </si>
  <si>
    <t>E1486</t>
  </si>
  <si>
    <t>E1487</t>
  </si>
  <si>
    <t>E1488</t>
  </si>
  <si>
    <t>E1489</t>
  </si>
  <si>
    <t>E1490</t>
  </si>
  <si>
    <t>E1491</t>
  </si>
  <si>
    <t>E1492</t>
  </si>
  <si>
    <t>E1493</t>
  </si>
  <si>
    <t>E1111</t>
  </si>
  <si>
    <t>E1112</t>
  </si>
  <si>
    <t>E1113</t>
  </si>
  <si>
    <t>E1114</t>
  </si>
  <si>
    <t>E1115</t>
  </si>
  <si>
    <t>E1116</t>
  </si>
  <si>
    <t>E1117</t>
  </si>
  <si>
    <t>E1118</t>
  </si>
  <si>
    <t>E1119</t>
  </si>
  <si>
    <t>E1498</t>
  </si>
  <si>
    <t>E1120</t>
  </si>
  <si>
    <t>E1121</t>
  </si>
  <si>
    <t>E1122</t>
  </si>
  <si>
    <t>E1123</t>
  </si>
  <si>
    <t>E1124</t>
  </si>
  <si>
    <t>E1125</t>
  </si>
  <si>
    <t>E1126</t>
  </si>
  <si>
    <t>E1127</t>
  </si>
  <si>
    <t>E1128</t>
  </si>
  <si>
    <t>E1129</t>
  </si>
  <si>
    <t>E1130</t>
  </si>
  <si>
    <t>E1516</t>
  </si>
  <si>
    <t>E1196</t>
  </si>
  <si>
    <t>E1197</t>
  </si>
  <si>
    <t>E1198</t>
  </si>
  <si>
    <t>E1199</t>
  </si>
  <si>
    <t>E1200</t>
  </si>
  <si>
    <t>E1201</t>
  </si>
  <si>
    <t>E1202</t>
  </si>
  <si>
    <t>E1203</t>
  </si>
  <si>
    <t>E1204</t>
  </si>
  <si>
    <t>E1205</t>
  </si>
  <si>
    <t>E1206</t>
  </si>
  <si>
    <t>E1207</t>
  </si>
  <si>
    <t>E1208</t>
  </si>
  <si>
    <t>E1209</t>
  </si>
  <si>
    <t>E1210</t>
  </si>
  <si>
    <t>E1211</t>
  </si>
  <si>
    <t>E1212</t>
  </si>
  <si>
    <t>E1213</t>
  </si>
  <si>
    <t>E1214</t>
  </si>
  <si>
    <t>E1215</t>
  </si>
  <si>
    <t>E1216</t>
  </si>
  <si>
    <t>E1501</t>
  </si>
  <si>
    <t>E1217</t>
  </si>
  <si>
    <t>E1218</t>
  </si>
  <si>
    <t>E1219</t>
  </si>
  <si>
    <t>E1220</t>
  </si>
  <si>
    <t>E1221</t>
  </si>
  <si>
    <t>E1222</t>
  </si>
  <si>
    <t>E1223</t>
  </si>
  <si>
    <t>E1224</t>
  </si>
  <si>
    <t>E1225</t>
  </si>
  <si>
    <t>E1226</t>
  </si>
  <si>
    <t>E1227</t>
  </si>
  <si>
    <t>E1228</t>
  </si>
  <si>
    <t>E1229</t>
  </si>
  <si>
    <t>E1502</t>
  </si>
  <si>
    <t>E1230</t>
  </si>
  <si>
    <t>E1520</t>
  </si>
  <si>
    <t>E1131</t>
  </si>
  <si>
    <t>E1132</t>
  </si>
  <si>
    <t>E1133</t>
  </si>
  <si>
    <t>E1134</t>
  </si>
  <si>
    <t>E1135</t>
  </si>
  <si>
    <t>E1136</t>
  </si>
  <si>
    <t>E1137</t>
  </si>
  <si>
    <t>E1138</t>
  </si>
  <si>
    <t>E1139</t>
  </si>
  <si>
    <t>E1140</t>
  </si>
  <si>
    <t>E1141</t>
  </si>
  <si>
    <t>E1142</t>
  </si>
  <si>
    <t>E1143</t>
  </si>
  <si>
    <t>E1144</t>
  </si>
  <si>
    <t>E1145</t>
  </si>
  <si>
    <t>E1146</t>
  </si>
  <si>
    <t>E1147</t>
  </si>
  <si>
    <t>E1148</t>
  </si>
  <si>
    <t>E1149</t>
  </si>
  <si>
    <t>E1150</t>
  </si>
  <si>
    <t>E1151</t>
  </si>
  <si>
    <t>E1152</t>
  </si>
  <si>
    <t>E1153</t>
  </si>
  <si>
    <t>E1154</t>
  </si>
  <si>
    <t>E1155</t>
  </si>
  <si>
    <t>E1156</t>
  </si>
  <si>
    <t>E1157</t>
  </si>
  <si>
    <t>E1158</t>
  </si>
  <si>
    <t>E1159</t>
  </si>
  <si>
    <t>E1500</t>
  </si>
  <si>
    <t>E1160</t>
  </si>
  <si>
    <t>E1161</t>
  </si>
  <si>
    <t>E1162</t>
  </si>
  <si>
    <t>E1163</t>
  </si>
  <si>
    <t>E1164</t>
  </si>
  <si>
    <t>E1165</t>
  </si>
  <si>
    <t>E1166</t>
  </si>
  <si>
    <t>E1167</t>
  </si>
  <si>
    <t>E1168</t>
  </si>
  <si>
    <t>E1169</t>
  </si>
  <si>
    <t>E1170</t>
  </si>
  <si>
    <t>E1171</t>
  </si>
  <si>
    <t>E1172</t>
  </si>
  <si>
    <t>E1173</t>
  </si>
  <si>
    <t>E1174</t>
  </si>
  <si>
    <t>E1175</t>
  </si>
  <si>
    <t>E1176</t>
  </si>
  <si>
    <t>E1177</t>
  </si>
  <si>
    <t>E1178</t>
  </si>
  <si>
    <t>E1179</t>
  </si>
  <si>
    <t>E1180</t>
  </si>
  <si>
    <t>E1181</t>
  </si>
  <si>
    <t>E1182</t>
  </si>
  <si>
    <t>E1183</t>
  </si>
  <si>
    <t>E1184</t>
  </si>
  <si>
    <t>E1185</t>
  </si>
  <si>
    <t>E1186</t>
  </si>
  <si>
    <t>E1499</t>
  </si>
  <si>
    <t>E1187</t>
  </si>
  <si>
    <t>E1188</t>
  </si>
  <si>
    <t>E1189</t>
  </si>
  <si>
    <t>E1190</t>
  </si>
  <si>
    <t>E1191</t>
  </si>
  <si>
    <t>E1192</t>
  </si>
  <si>
    <t>E1193</t>
  </si>
  <si>
    <t>E1194</t>
  </si>
  <si>
    <t>E1195</t>
  </si>
  <si>
    <t>E1513</t>
  </si>
  <si>
    <t>E1528</t>
  </si>
  <si>
    <t>E1529</t>
  </si>
  <si>
    <t>E1421</t>
  </si>
  <si>
    <t>E1422</t>
  </si>
  <si>
    <t>E1423</t>
  </si>
  <si>
    <t>E1424</t>
  </si>
  <si>
    <t>E1425</t>
  </si>
  <si>
    <t>E1426</t>
  </si>
  <si>
    <t>E1427</t>
  </si>
  <si>
    <t>E1428</t>
  </si>
  <si>
    <t>E1510</t>
  </si>
  <si>
    <t>E1429</t>
  </si>
  <si>
    <t>E1430</t>
  </si>
  <si>
    <t>E1431</t>
  </si>
  <si>
    <t>E1432</t>
  </si>
  <si>
    <t>E1433</t>
  </si>
  <si>
    <t>E1434</t>
  </si>
  <si>
    <t>E1435</t>
  </si>
  <si>
    <t>E1436</t>
  </si>
  <si>
    <t>E1437</t>
  </si>
  <si>
    <t>E1438</t>
  </si>
  <si>
    <t>E1231</t>
  </si>
  <si>
    <t>E1232</t>
  </si>
  <si>
    <t>E1233</t>
  </si>
  <si>
    <t>E1234</t>
  </si>
  <si>
    <t>E1235</t>
  </si>
  <si>
    <t>E1236</t>
  </si>
  <si>
    <t>E1237</t>
  </si>
  <si>
    <t>E1238</t>
  </si>
  <si>
    <t>E1239</t>
  </si>
  <si>
    <t>E1240</t>
  </si>
  <si>
    <t>E1241</t>
  </si>
  <si>
    <t>E1242</t>
  </si>
  <si>
    <t>E1503</t>
  </si>
  <si>
    <t>E1243</t>
  </si>
  <si>
    <t>E1244</t>
  </si>
  <si>
    <t>E1245</t>
  </si>
  <si>
    <t>E1246</t>
  </si>
  <si>
    <t>E1247</t>
  </si>
  <si>
    <t>E1248</t>
  </si>
  <si>
    <t>E1249</t>
  </si>
  <si>
    <t>E1250</t>
  </si>
  <si>
    <t>E1251</t>
  </si>
  <si>
    <t>E1252</t>
  </si>
  <si>
    <t>E1253</t>
  </si>
  <si>
    <t>E1254</t>
  </si>
  <si>
    <t>E1255</t>
  </si>
  <si>
    <t>E1256</t>
  </si>
  <si>
    <t>E1257</t>
  </si>
  <si>
    <t>E1258</t>
  </si>
  <si>
    <t>E1259</t>
  </si>
  <si>
    <t>E1260</t>
  </si>
  <si>
    <t>E1517</t>
  </si>
  <si>
    <t>E1316</t>
  </si>
  <si>
    <t>E1317</t>
  </si>
  <si>
    <t>E1318</t>
  </si>
  <si>
    <t>E1319</t>
  </si>
  <si>
    <t>E1320</t>
  </si>
  <si>
    <t>E1321</t>
  </si>
  <si>
    <t>E1322</t>
  </si>
  <si>
    <t>E1323</t>
  </si>
  <si>
    <t>E1324</t>
  </si>
  <si>
    <t>E1325</t>
  </si>
  <si>
    <t>E1326</t>
  </si>
  <si>
    <t>E1327</t>
  </si>
  <si>
    <t>E1328</t>
  </si>
  <si>
    <t>E1329</t>
  </si>
  <si>
    <t>E1330</t>
  </si>
  <si>
    <t>E1331</t>
  </si>
  <si>
    <t>E1332</t>
  </si>
  <si>
    <t>E1333</t>
  </si>
  <si>
    <t>E1334</t>
  </si>
  <si>
    <t>E1335</t>
  </si>
  <si>
    <t>E1336</t>
  </si>
  <si>
    <t>E1337</t>
  </si>
  <si>
    <t>E1338</t>
  </si>
  <si>
    <t>E1339</t>
  </si>
  <si>
    <t>E1340</t>
  </si>
  <si>
    <t>E1341</t>
  </si>
  <si>
    <t>E1342</t>
  </si>
  <si>
    <t>E1343</t>
  </si>
  <si>
    <t>E1344</t>
  </si>
  <si>
    <t>E1345</t>
  </si>
  <si>
    <t>E1346</t>
  </si>
  <si>
    <t>E1347</t>
  </si>
  <si>
    <t>E1348</t>
  </si>
  <si>
    <t>E1349</t>
  </si>
  <si>
    <t>E1350</t>
  </si>
  <si>
    <t>E1351</t>
  </si>
  <si>
    <t>E1352</t>
  </si>
  <si>
    <t>E1506</t>
  </si>
  <si>
    <t>E1353</t>
  </si>
  <si>
    <t>E1354</t>
  </si>
  <si>
    <t>E1355</t>
  </si>
  <si>
    <t>E1356</t>
  </si>
  <si>
    <t>E1357</t>
  </si>
  <si>
    <t>E1358</t>
  </si>
  <si>
    <t>E1359</t>
  </si>
  <si>
    <t>E1360</t>
  </si>
  <si>
    <t>E1361</t>
  </si>
  <si>
    <t>E1362</t>
  </si>
  <si>
    <t>E1363</t>
  </si>
  <si>
    <t>E1364</t>
  </si>
  <si>
    <t>E1365</t>
  </si>
  <si>
    <t>E1366</t>
  </si>
  <si>
    <t>E1367</t>
  </si>
  <si>
    <t>E1368</t>
  </si>
  <si>
    <t>E1369</t>
  </si>
  <si>
    <t>E1370</t>
  </si>
  <si>
    <t>E1371</t>
  </si>
  <si>
    <t>E1508</t>
  </si>
  <si>
    <t>E1372</t>
  </si>
  <si>
    <t>E1373</t>
  </si>
  <si>
    <t>E1374</t>
  </si>
  <si>
    <t>E1375</t>
  </si>
  <si>
    <t>E1376</t>
  </si>
  <si>
    <t>E1377</t>
  </si>
  <si>
    <t>E1378</t>
  </si>
  <si>
    <t>E1379</t>
  </si>
  <si>
    <t>E1507</t>
  </si>
  <si>
    <t>E1380</t>
  </si>
  <si>
    <t>E1381</t>
  </si>
  <si>
    <t>E1382</t>
  </si>
  <si>
    <t>E1383</t>
  </si>
  <si>
    <t>E1384</t>
  </si>
  <si>
    <t>E1385</t>
  </si>
  <si>
    <t>E1518</t>
  </si>
  <si>
    <t>E1519</t>
  </si>
  <si>
    <t>E1532</t>
  </si>
  <si>
    <t>E1261</t>
  </si>
  <si>
    <t>E1262</t>
  </si>
  <si>
    <t>E1263</t>
  </si>
  <si>
    <t>E1264</t>
  </si>
  <si>
    <t>E1265</t>
  </si>
  <si>
    <t>E1266</t>
  </si>
  <si>
    <t>E1267</t>
  </si>
  <si>
    <t>E1268</t>
  </si>
  <si>
    <t>E1269</t>
  </si>
  <si>
    <t>E1270</t>
  </si>
  <si>
    <t>E1271</t>
  </si>
  <si>
    <t>E1272</t>
  </si>
  <si>
    <t>E1273</t>
  </si>
  <si>
    <t>E1274</t>
  </si>
  <si>
    <t>E1275</t>
  </si>
  <si>
    <t>E1276</t>
  </si>
  <si>
    <t>E1277</t>
  </si>
  <si>
    <t>E1278</t>
  </si>
  <si>
    <t>E1279</t>
  </si>
  <si>
    <t>E1280</t>
  </si>
  <si>
    <t>E1281</t>
  </si>
  <si>
    <t>E1504</t>
  </si>
  <si>
    <t>E1282</t>
  </si>
  <si>
    <t>E1283</t>
  </si>
  <si>
    <t>E1284</t>
  </si>
  <si>
    <t>E1285</t>
  </si>
  <si>
    <t>E1286</t>
  </si>
  <si>
    <t>E1287</t>
  </si>
  <si>
    <t>E1288</t>
  </si>
  <si>
    <t>E1289</t>
  </si>
  <si>
    <t>E1290</t>
  </si>
  <si>
    <t>E1291</t>
  </si>
  <si>
    <t>E1292</t>
  </si>
  <si>
    <t>E1293</t>
  </si>
  <si>
    <t>E1294</t>
  </si>
  <si>
    <t>E1295</t>
  </si>
  <si>
    <t>E1296</t>
  </si>
  <si>
    <t>E1297</t>
  </si>
  <si>
    <t>E1298</t>
  </si>
  <si>
    <t>E1299</t>
  </si>
  <si>
    <t>E1300</t>
  </si>
  <si>
    <t>E1301</t>
  </si>
  <si>
    <t>E1302</t>
  </si>
  <si>
    <t>E1303</t>
  </si>
  <si>
    <t>E1304</t>
  </si>
  <si>
    <t>E1305</t>
  </si>
  <si>
    <t>E1306</t>
  </si>
  <si>
    <t>E1307</t>
  </si>
  <si>
    <t>E1308</t>
  </si>
  <si>
    <t>E1309</t>
  </si>
  <si>
    <t>E1505</t>
  </si>
  <si>
    <t>E1310</t>
  </si>
  <si>
    <t>E1311</t>
  </si>
  <si>
    <t>E1312</t>
  </si>
  <si>
    <t>E1313</t>
  </si>
  <si>
    <t>E1314</t>
  </si>
  <si>
    <t>E1315</t>
  </si>
  <si>
    <t>E1524</t>
  </si>
  <si>
    <t>E1525</t>
  </si>
  <si>
    <t>E1526</t>
  </si>
  <si>
    <t>E1527</t>
  </si>
  <si>
    <t>Month the raise starts next year. Illustrative: a common April 1 review date.</t>
  </si>
  <si>
    <t>About $200M, used only for the growth math.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</si>
</sst>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0;\(#,##0\);\-"/>
    <numFmt numFmtId="165" formatCode="\$#,##0,\K;&quot;($&quot;#,##0,&quot;K)&quot;;\-"/>
    <numFmt numFmtId="166" formatCode="\$#,##0;&quot;($&quot;#,##0\);\-"/>
    <numFmt numFmtId="167" formatCode="\+0.0%;\-0.0%;0.0%"/>
    <numFmt numFmtId="168" formatCode="mmm\ d&quot;, &quot;yyyy"/>
    <numFmt numFmtId="169" formatCode="0.0%;\(0.0%\);\-"/>
    <numFmt numFmtId="170" formatCode="0.0000"/>
    <numFmt numFmtId="171" formatCode="\$0.00"/>
    <numFmt numFmtId="172" formatCode="0;\(0\);&quot;OK&quot;"/>
    <numFmt numFmtId="173" formatCode="0.000\x"/>
  </numFmts>
  <fonts count="34" x14ac:knownFonts="1">
    <font>
      <sz val="11"/>
      <color theme="1"/>
      <name val="Calibri"/>
      <family val="2"/>
      <charset val="1"/>
    </font>
    <font>
      <b/>
      <sz val="16"/>
      <color rgb="FF174F80"/>
      <name val="Arial"/>
      <charset val="1"/>
    </font>
    <font>
      <i/>
      <sz val="10"/>
      <color rgb="FF008000"/>
      <name val="Arial"/>
      <charset val="1"/>
    </font>
    <font>
      <b/>
      <sz val="12"/>
      <color rgb="FF2172B9"/>
      <name val="Arial"/>
      <charset val="1"/>
    </font>
    <font>
      <sz val="9"/>
      <color rgb="FF404040"/>
      <name val="Arial"/>
      <charset val="1"/>
    </font>
    <font>
      <sz val="9"/>
      <color rgb="FF008000"/>
      <name val="Arial"/>
      <charset val="1"/>
    </font>
    <font>
      <b/>
      <sz val="16"/>
      <color rgb="FF008000"/>
      <name val="Arial"/>
      <charset val="1"/>
    </font>
    <font>
      <b/>
      <sz val="16"/>
      <color rgb="FF000000"/>
      <name val="Arial"/>
      <charset val="1"/>
    </font>
    <font>
      <i/>
      <sz val="9"/>
      <color rgb="FF000000"/>
      <name val="Arial"/>
      <charset val="1"/>
    </font>
    <font>
      <i/>
      <sz val="9"/>
      <color rgb="FF008000"/>
      <name val="Arial"/>
      <charset val="1"/>
    </font>
    <font>
      <b/>
      <sz val="10"/>
      <color rgb="FFFFFFFF"/>
      <name val="Arial"/>
      <charset val="1"/>
    </font>
    <font>
      <sz val="10"/>
      <color rgb="FF008000"/>
      <name val="Arial"/>
      <charset val="1"/>
    </font>
    <font>
      <sz val="8"/>
      <color rgb="FFA6A6A6"/>
      <name val="Arial"/>
      <charset val="1"/>
    </font>
    <font>
      <i/>
      <sz val="9"/>
      <color rgb="FF595959"/>
      <name val="Arial"/>
      <charset val="1"/>
    </font>
    <font>
      <b/>
      <sz val="10"/>
      <name val="Arial"/>
      <charset val="1"/>
    </font>
    <font>
      <b/>
      <sz val="10"/>
      <color rgb="FF008000"/>
      <name val="Arial"/>
      <charset val="1"/>
    </font>
    <font>
      <b/>
      <sz val="10"/>
      <color rgb="FF000000"/>
      <name val="Arial"/>
      <charset val="1"/>
    </font>
    <font>
      <sz val="10"/>
      <name val="Arial"/>
      <charset val="1"/>
    </font>
    <font>
      <sz val="10"/>
      <color rgb="FF000000"/>
      <name val="Arial"/>
      <charset val="1"/>
    </font>
    <font>
      <b/>
      <i/>
      <sz val="10"/>
      <color rgb="FF2172B9"/>
      <name val="Arial"/>
      <charset val="1"/>
    </font>
    <font>
      <i/>
      <sz val="9"/>
      <name val="Arial"/>
      <charset val="1"/>
    </font>
    <font>
      <i/>
      <sz val="10"/>
      <color rgb="FF000000"/>
      <name val="Arial"/>
      <charset val="1"/>
    </font>
    <font>
      <i/>
      <sz val="10"/>
      <color rgb="FF595959"/>
      <name val="Arial"/>
      <charset val="1"/>
    </font>
    <font>
      <b/>
      <sz val="10"/>
      <color rgb="FF2172B9"/>
      <name val="Arial"/>
      <charset val="1"/>
    </font>
    <font>
      <sz val="10"/>
      <color rgb="FF0000FF"/>
      <name val="Arial"/>
      <charset val="1"/>
    </font>
    <font>
      <i/>
      <sz val="10"/>
      <color rgb="FF808080"/>
      <name val="Arial"/>
      <charset val="1"/>
    </font>
    <font>
      <sz val="10"/>
      <color rgb="FF00B050"/>
      <name val="Arial"/>
      <charset val="1"/>
    </font>
    <font>
      <sz val="10"/>
      <color rgb="FFC00000"/>
      <name val="Arial"/>
      <charset val="1"/>
    </font>
    <font>
      <b/>
      <sz val="10"/>
      <color rgb="FF0000FF"/>
      <name val="Arial"/>
      <charset val="1"/>
    </font>
    <font>
      <b/>
      <sz val="10"/>
      <color rgb="FF595959"/>
      <name val="Arial"/>
      <charset val="1"/>
    </font>
    <font>
      <b/>
      <sz val="9"/>
      <color rgb="FF2172B9"/>
      <name val="Arial"/>
      <charset val="1"/>
    </font>
    <font>
      <b/>
      <sz val="9"/>
      <color rgb="FF0000FF"/>
      <name val="Arial"/>
      <charset val="1"/>
    </font>
    <font>
      <b/>
      <sz val="9"/>
      <color rgb="FF595959"/>
      <name val="Arial"/>
      <charset val="1"/>
    </font>
    <font>
      <sz val="9"/>
      <color rgb="FFA6A6A6"/>
      <name val="Arial"/>
      <charset val="1"/>
    </font>
  </fonts>
  <fills count="14">
    <fill>
      <patternFill patternType="none"/>
    </fill>
    <fill>
      <patternFill patternType="gray125"/>
    </fill>
    <fill>
      <patternFill patternType="solid">
        <fgColor rgb="FFEEF4FA"/>
        <bgColor rgb="FFFFFFFF"/>
      </patternFill>
    </fill>
    <fill>
      <patternFill patternType="solid">
        <fgColor rgb="FF2172B9"/>
        <bgColor rgb="FF3366FF"/>
      </patternFill>
    </fill>
    <fill>
      <patternFill patternType="solid">
        <fgColor rgb="FFDCE9F5"/>
        <bgColor rgb="FFE2EFDA"/>
      </patternFill>
    </fill>
    <fill>
      <patternFill patternType="solid">
        <fgColor rgb="FFC6EFCE"/>
        <bgColor rgb="FFE2EFDA"/>
      </patternFill>
    </fill>
    <fill>
      <patternFill patternType="solid">
        <fgColor rgb="FFE2EFDA"/>
        <bgColor rgb="FFDCE9F5"/>
      </patternFill>
    </fill>
    <fill>
      <patternFill patternType="solid">
        <fgColor rgb="FFFFEB9C"/>
        <bgColor rgb="FFFFF2CC"/>
      </patternFill>
    </fill>
    <fill>
      <patternFill patternType="solid">
        <fgColor rgb="FFFFC7CE"/>
        <bgColor rgb="FFFFEB9C"/>
      </patternFill>
    </fill>
    <fill>
      <patternFill patternType="solid">
        <fgColor rgb="FF808080"/>
        <bgColor rgb="FFA6A6A6"/>
      </patternFill>
    </fill>
    <fill>
      <patternFill patternType="solid">
        <fgColor rgb="FFFFC000"/>
        <bgColor rgb="FFFF9900"/>
      </patternFill>
    </fill>
    <fill>
      <patternFill patternType="solid">
        <fgColor rgb="FFED7D31"/>
        <bgColor rgb="FFFF8080"/>
      </patternFill>
    </fill>
    <fill>
      <patternFill patternType="solid">
        <fgColor rgb="FF70AD47"/>
        <bgColor rgb="FF808080"/>
      </patternFill>
    </fill>
    <fill>
      <patternFill patternType="solid">
        <fgColor rgb="FFFFF2CC"/>
        <bgColor rgb="FFE2EFDA"/>
      </patternFill>
    </fill>
  </fills>
  <borders count="5">
    <border>
      <left/>
      <right/>
      <top/>
      <bottom/>
      <diagonal/>
    </border>
    <border>
      <left/>
      <right/>
      <top/>
      <bottom style="medium">
        <color rgb="FF2172B9"/>
      </bottom>
      <diagonal/>
    </border>
    <border>
      <left/>
      <right/>
      <top/>
      <bottom style="thin">
        <color rgb="FFBFBFBF"/>
      </bottom>
      <diagonal/>
    </border>
    <border>
      <left/>
      <right/>
      <top style="thin">
        <color rgb="FF174F80"/>
      </top>
      <bottom/>
      <diagonal/>
    </border>
    <border>
      <left/>
      <right/>
      <top style="thin">
        <color auto="1"/>
      </top>
      <bottom/>
      <diagonal/>
    </border>
  </borders>
  <cellStyleXfs count="1">
    <xf numFmtId="0" fontId="0" fillId="0" borderId="0"/>
  </cellStyleXfs>
  <cellXfs count="135">
    <xf numFmtId="0" fontId="0" fillId="0" borderId="0" xfId="0"/>
    <xf numFmtId="0" fontId="14" fillId="4" borderId="3" xfId="0" applyFont="1" applyFill="1" applyBorder="1"/>
    <xf numFmtId="0" fontId="10" fillId="3" borderId="0" xfId="0" applyFont="1" applyFill="1" applyAlignment="1">
      <alignment horizontal="center" vertical="center" wrapText="1"/>
    </xf>
    <xf numFmtId="165" fontId="6" fillId="2" borderId="0" xfId="0" applyNumberFormat="1" applyFont="1" applyFill="1" applyAlignment="1">
      <alignment horizontal="center" vertical="center" wrapText="1"/>
    </xf>
    <xf numFmtId="164" fontId="6" fillId="2" borderId="0" xfId="0" applyNumberFormat="1" applyFont="1" applyFill="1" applyAlignment="1">
      <alignment horizontal="center" vertical="center" wrapText="1"/>
    </xf>
    <xf numFmtId="0" fontId="4" fillId="2" borderId="0" xfId="0" applyFont="1" applyFill="1" applyAlignment="1">
      <alignment horizontal="center" vertical="center" wrapText="1"/>
    </xf>
    <xf numFmtId="0" fontId="1" fillId="0" borderId="0" xfId="0" applyFont="1"/>
    <xf numFmtId="0" fontId="2" fillId="0" borderId="0" xfId="0" applyFont="1"/>
    <xf numFmtId="0" fontId="3" fillId="0" borderId="1" xfId="0" applyFont="1" applyBorder="1"/>
    <xf numFmtId="0" fontId="0" fillId="0" borderId="1" xfId="0" applyBorder="1"/>
    <xf numFmtId="0" fontId="5" fillId="2" borderId="0" xfId="0" applyFont="1" applyFill="1" applyAlignment="1">
      <alignment horizontal="center" vertical="center" wrapText="1"/>
    </xf>
    <xf numFmtId="165" fontId="7" fillId="2" borderId="0" xfId="0" applyNumberFormat="1" applyFont="1" applyFill="1" applyAlignment="1">
      <alignment horizontal="center" vertical="center" wrapText="1"/>
    </xf>
    <xf numFmtId="0" fontId="8" fillId="0" borderId="0" xfId="0" applyFont="1" applyAlignment="1">
      <alignment horizontal="center"/>
    </xf>
    <xf numFmtId="0" fontId="9" fillId="0" borderId="0" xfId="0" applyFont="1"/>
    <xf numFmtId="0" fontId="11" fillId="0" borderId="2" xfId="0" applyFont="1" applyBorder="1" applyAlignment="1">
      <alignment vertical="top"/>
    </xf>
    <xf numFmtId="166" fontId="11" fillId="0" borderId="2" xfId="0" applyNumberFormat="1" applyFont="1" applyBorder="1" applyAlignment="1">
      <alignment vertical="top"/>
    </xf>
    <xf numFmtId="167" fontId="11" fillId="0" borderId="2" xfId="0" applyNumberFormat="1" applyFont="1" applyBorder="1" applyAlignment="1">
      <alignment vertical="top"/>
    </xf>
    <xf numFmtId="0" fontId="11" fillId="0" borderId="2" xfId="0" applyFont="1" applyBorder="1" applyAlignment="1">
      <alignment vertical="top" wrapText="1" indent="1"/>
    </xf>
    <xf numFmtId="1" fontId="12" fillId="0" borderId="0" xfId="0" applyNumberFormat="1" applyFont="1"/>
    <xf numFmtId="0" fontId="13" fillId="0" borderId="0" xfId="0" applyFont="1"/>
    <xf numFmtId="166" fontId="15" fillId="0" borderId="2" xfId="0" applyNumberFormat="1" applyFont="1" applyBorder="1"/>
    <xf numFmtId="166" fontId="16" fillId="0" borderId="2" xfId="0" applyNumberFormat="1" applyFont="1" applyBorder="1"/>
    <xf numFmtId="166" fontId="11" fillId="0" borderId="2" xfId="0" applyNumberFormat="1" applyFont="1" applyBorder="1"/>
    <xf numFmtId="166" fontId="18" fillId="0" borderId="2" xfId="0" applyNumberFormat="1" applyFont="1" applyBorder="1"/>
    <xf numFmtId="164" fontId="11" fillId="0" borderId="2" xfId="0" applyNumberFormat="1" applyFont="1" applyBorder="1"/>
    <xf numFmtId="0" fontId="0" fillId="4" borderId="0" xfId="0" applyFill="1"/>
    <xf numFmtId="166" fontId="16" fillId="4" borderId="3" xfId="0" applyNumberFormat="1" applyFont="1" applyFill="1" applyBorder="1"/>
    <xf numFmtId="164" fontId="16" fillId="4" borderId="3" xfId="0" applyNumberFormat="1" applyFont="1" applyFill="1" applyBorder="1"/>
    <xf numFmtId="0" fontId="19" fillId="0" borderId="0" xfId="0" applyFont="1"/>
    <xf numFmtId="166" fontId="8" fillId="0" borderId="2" xfId="0" applyNumberFormat="1" applyFont="1" applyBorder="1"/>
    <xf numFmtId="166" fontId="9" fillId="0" borderId="2" xfId="0" applyNumberFormat="1" applyFont="1" applyBorder="1"/>
    <xf numFmtId="0" fontId="12" fillId="0" borderId="0" xfId="0" applyFont="1"/>
    <xf numFmtId="164" fontId="11" fillId="0" borderId="2" xfId="0" applyNumberFormat="1" applyFont="1" applyBorder="1" applyAlignment="1">
      <alignment horizontal="right" indent="1"/>
    </xf>
    <xf numFmtId="166" fontId="11" fillId="0" borderId="2" xfId="0" applyNumberFormat="1" applyFont="1" applyBorder="1" applyAlignment="1">
      <alignment horizontal="right" indent="1"/>
    </xf>
    <xf numFmtId="0" fontId="11" fillId="0" borderId="2" xfId="0" applyFont="1" applyBorder="1" applyAlignment="1">
      <alignment horizontal="left" indent="1"/>
    </xf>
    <xf numFmtId="164" fontId="15" fillId="4" borderId="3" xfId="0" applyNumberFormat="1" applyFont="1" applyFill="1" applyBorder="1" applyAlignment="1">
      <alignment horizontal="right" indent="1"/>
    </xf>
    <xf numFmtId="166" fontId="15" fillId="4" borderId="3" xfId="0" applyNumberFormat="1" applyFont="1" applyFill="1" applyBorder="1" applyAlignment="1">
      <alignment horizontal="right" indent="1"/>
    </xf>
    <xf numFmtId="0" fontId="15" fillId="4" borderId="3" xfId="0" applyFont="1" applyFill="1" applyBorder="1" applyAlignment="1">
      <alignment horizontal="left" indent="1"/>
    </xf>
    <xf numFmtId="0" fontId="22" fillId="0" borderId="0" xfId="0" applyFont="1"/>
    <xf numFmtId="0" fontId="14" fillId="0" borderId="2" xfId="0" applyFont="1" applyBorder="1" applyAlignment="1">
      <alignment vertical="top" wrapText="1"/>
    </xf>
    <xf numFmtId="0" fontId="17" fillId="0" borderId="2" xfId="0" applyFont="1" applyBorder="1" applyAlignment="1">
      <alignment vertical="top" wrapText="1"/>
    </xf>
    <xf numFmtId="0" fontId="14" fillId="5" borderId="2" xfId="0" applyFont="1" applyFill="1" applyBorder="1" applyAlignment="1">
      <alignment vertical="top" wrapText="1" indent="2"/>
    </xf>
    <xf numFmtId="0" fontId="14" fillId="6" borderId="2" xfId="0" applyFont="1" applyFill="1" applyBorder="1" applyAlignment="1">
      <alignment vertical="top" wrapText="1" indent="2"/>
    </xf>
    <xf numFmtId="0" fontId="14" fillId="7" borderId="2" xfId="0" applyFont="1" applyFill="1" applyBorder="1" applyAlignment="1">
      <alignment vertical="top" wrapText="1" indent="2"/>
    </xf>
    <xf numFmtId="0" fontId="14" fillId="8" borderId="2" xfId="0" applyFont="1" applyFill="1" applyBorder="1" applyAlignment="1">
      <alignment vertical="top" wrapText="1" indent="2"/>
    </xf>
    <xf numFmtId="0" fontId="10" fillId="3" borderId="2" xfId="0" applyFont="1" applyFill="1" applyBorder="1" applyAlignment="1">
      <alignment vertical="top" wrapText="1"/>
    </xf>
    <xf numFmtId="0" fontId="10" fillId="9" borderId="2" xfId="0" applyFont="1" applyFill="1" applyBorder="1" applyAlignment="1">
      <alignment vertical="top" wrapText="1"/>
    </xf>
    <xf numFmtId="0" fontId="10" fillId="10" borderId="2" xfId="0" applyFont="1" applyFill="1" applyBorder="1" applyAlignment="1">
      <alignment vertical="top" wrapText="1"/>
    </xf>
    <xf numFmtId="0" fontId="10" fillId="11" borderId="2" xfId="0" applyFont="1" applyFill="1" applyBorder="1" applyAlignment="1">
      <alignment vertical="top" wrapText="1"/>
    </xf>
    <xf numFmtId="0" fontId="10" fillId="12" borderId="2" xfId="0" applyFont="1" applyFill="1" applyBorder="1" applyAlignment="1">
      <alignment vertical="top" wrapText="1"/>
    </xf>
    <xf numFmtId="0" fontId="23" fillId="4" borderId="0" xfId="0" applyFont="1" applyFill="1"/>
    <xf numFmtId="0" fontId="17" fillId="0" borderId="2" xfId="0" applyFont="1" applyBorder="1" applyAlignment="1">
      <alignment vertical="top" indent="1"/>
    </xf>
    <xf numFmtId="168" fontId="24" fillId="13" borderId="2" xfId="0" applyNumberFormat="1" applyFont="1" applyFill="1" applyBorder="1" applyAlignment="1">
      <alignment horizontal="right" vertical="top"/>
    </xf>
    <xf numFmtId="0" fontId="17" fillId="0" borderId="2" xfId="0" applyFont="1" applyBorder="1" applyAlignment="1">
      <alignment vertical="top" wrapText="1" indent="1"/>
    </xf>
    <xf numFmtId="1" fontId="24" fillId="13" borderId="2" xfId="0" applyNumberFormat="1" applyFont="1" applyFill="1" applyBorder="1" applyAlignment="1">
      <alignment horizontal="right" vertical="top"/>
    </xf>
    <xf numFmtId="1" fontId="18" fillId="0" borderId="2" xfId="0" applyNumberFormat="1" applyFont="1" applyBorder="1" applyAlignment="1">
      <alignment horizontal="right" vertical="top"/>
    </xf>
    <xf numFmtId="169" fontId="24" fillId="13" borderId="2" xfId="0" applyNumberFormat="1" applyFont="1" applyFill="1" applyBorder="1" applyAlignment="1">
      <alignment horizontal="right" vertical="top"/>
    </xf>
    <xf numFmtId="0" fontId="25" fillId="0" borderId="2" xfId="0" applyFont="1" applyBorder="1" applyAlignment="1">
      <alignment horizontal="right" vertical="top"/>
    </xf>
    <xf numFmtId="0" fontId="18" fillId="0" borderId="2" xfId="0" applyFont="1" applyBorder="1" applyAlignment="1">
      <alignment vertical="top" wrapText="1" indent="1"/>
    </xf>
    <xf numFmtId="166" fontId="24" fillId="13" borderId="2" xfId="0" applyNumberFormat="1" applyFont="1" applyFill="1" applyBorder="1" applyAlignment="1">
      <alignment horizontal="right" vertical="top"/>
    </xf>
    <xf numFmtId="170" fontId="18" fillId="0" borderId="2" xfId="0" applyNumberFormat="1" applyFont="1" applyBorder="1" applyAlignment="1">
      <alignment horizontal="right" vertical="top"/>
    </xf>
    <xf numFmtId="169" fontId="11" fillId="0" borderId="2" xfId="0" applyNumberFormat="1" applyFont="1" applyBorder="1" applyAlignment="1">
      <alignment horizontal="right" vertical="top"/>
    </xf>
    <xf numFmtId="171" fontId="18" fillId="0" borderId="2" xfId="0" applyNumberFormat="1" applyFont="1" applyBorder="1" applyAlignment="1">
      <alignment horizontal="right" vertical="top"/>
    </xf>
    <xf numFmtId="166" fontId="11" fillId="0" borderId="2" xfId="0" applyNumberFormat="1" applyFont="1" applyBorder="1" applyAlignment="1">
      <alignment horizontal="right" vertical="top"/>
    </xf>
    <xf numFmtId="166" fontId="18" fillId="13" borderId="2" xfId="0" applyNumberFormat="1" applyFont="1" applyFill="1" applyBorder="1" applyAlignment="1">
      <alignment horizontal="right" vertical="top"/>
    </xf>
    <xf numFmtId="166" fontId="18" fillId="0" borderId="2" xfId="0" applyNumberFormat="1" applyFont="1" applyBorder="1" applyAlignment="1">
      <alignment horizontal="right" vertical="top"/>
    </xf>
    <xf numFmtId="169" fontId="18" fillId="0" borderId="2" xfId="0" applyNumberFormat="1" applyFont="1" applyBorder="1" applyAlignment="1">
      <alignment horizontal="right" vertical="top"/>
    </xf>
    <xf numFmtId="0" fontId="24" fillId="0" borderId="2" xfId="0" applyFont="1" applyBorder="1" applyAlignment="1">
      <alignment horizontal="center" vertical="top"/>
    </xf>
    <xf numFmtId="0" fontId="18" fillId="0" borderId="2" xfId="0" applyFont="1" applyBorder="1" applyAlignment="1">
      <alignment horizontal="center" vertical="top"/>
    </xf>
    <xf numFmtId="0" fontId="11" fillId="0" borderId="2" xfId="0" applyFont="1" applyBorder="1" applyAlignment="1">
      <alignment horizontal="center" vertical="top"/>
    </xf>
    <xf numFmtId="0" fontId="24" fillId="13" borderId="2" xfId="0" applyFont="1" applyFill="1" applyBorder="1" applyAlignment="1">
      <alignment horizontal="center" vertical="top"/>
    </xf>
    <xf numFmtId="0" fontId="26" fillId="0" borderId="2" xfId="0" applyFont="1" applyBorder="1" applyAlignment="1">
      <alignment horizontal="center" vertical="top"/>
    </xf>
    <xf numFmtId="0" fontId="18" fillId="5" borderId="2" xfId="0" applyFont="1" applyFill="1" applyBorder="1" applyAlignment="1">
      <alignment horizontal="center" vertical="top"/>
    </xf>
    <xf numFmtId="0" fontId="28" fillId="0" borderId="0" xfId="0" applyFont="1"/>
    <xf numFmtId="0" fontId="29" fillId="0" borderId="0" xfId="0" applyFont="1"/>
    <xf numFmtId="0" fontId="24" fillId="0" borderId="0" xfId="0" applyFont="1" applyAlignment="1">
      <alignment vertical="top" wrapText="1"/>
    </xf>
    <xf numFmtId="0" fontId="24" fillId="0" borderId="0" xfId="0" applyFont="1"/>
    <xf numFmtId="1" fontId="24" fillId="0" borderId="0" xfId="0" applyNumberFormat="1" applyFont="1"/>
    <xf numFmtId="166" fontId="24" fillId="0" borderId="0" xfId="0" applyNumberFormat="1" applyFont="1"/>
    <xf numFmtId="164" fontId="24" fillId="0" borderId="0" xfId="0" applyNumberFormat="1" applyFont="1"/>
    <xf numFmtId="169" fontId="24" fillId="0" borderId="0" xfId="0" applyNumberFormat="1" applyFont="1"/>
    <xf numFmtId="1" fontId="18" fillId="0" borderId="0" xfId="0" applyNumberFormat="1" applyFont="1"/>
    <xf numFmtId="166" fontId="18" fillId="0" borderId="0" xfId="0" applyNumberFormat="1" applyFont="1"/>
    <xf numFmtId="166" fontId="11" fillId="0" borderId="0" xfId="0" applyNumberFormat="1" applyFont="1"/>
    <xf numFmtId="0" fontId="14" fillId="0" borderId="0" xfId="0" applyFont="1" applyAlignment="1">
      <alignment vertical="top"/>
    </xf>
    <xf numFmtId="0" fontId="30" fillId="0" borderId="0" xfId="0" applyFont="1"/>
    <xf numFmtId="164" fontId="11" fillId="0" borderId="0" xfId="0" applyNumberFormat="1" applyFont="1"/>
    <xf numFmtId="164" fontId="18" fillId="0" borderId="0" xfId="0" applyNumberFormat="1" applyFont="1"/>
    <xf numFmtId="172" fontId="18" fillId="0" borderId="0" xfId="0" applyNumberFormat="1" applyFont="1"/>
    <xf numFmtId="0" fontId="11" fillId="0" borderId="0" xfId="0" applyFont="1"/>
    <xf numFmtId="172" fontId="16" fillId="4" borderId="3" xfId="0" applyNumberFormat="1" applyFont="1" applyFill="1" applyBorder="1"/>
    <xf numFmtId="0" fontId="16" fillId="4" borderId="3" xfId="0" applyFont="1" applyFill="1" applyBorder="1"/>
    <xf numFmtId="0" fontId="23" fillId="0" borderId="0" xfId="0" applyFont="1"/>
    <xf numFmtId="172" fontId="11" fillId="0" borderId="2" xfId="0" applyNumberFormat="1" applyFont="1" applyBorder="1" applyAlignment="1">
      <alignment horizontal="center"/>
    </xf>
    <xf numFmtId="172" fontId="18" fillId="0" borderId="2" xfId="0" applyNumberFormat="1" applyFont="1" applyBorder="1" applyAlignment="1">
      <alignment horizontal="center"/>
    </xf>
    <xf numFmtId="0" fontId="31" fillId="0" borderId="0" xfId="0" applyFont="1"/>
    <xf numFmtId="0" fontId="32" fillId="0" borderId="0" xfId="0" applyFont="1"/>
    <xf numFmtId="1" fontId="24" fillId="0" borderId="0" xfId="0" applyNumberFormat="1" applyFont="1" applyAlignment="1">
      <alignment horizontal="center"/>
    </xf>
    <xf numFmtId="0" fontId="24" fillId="0" borderId="0" xfId="0" applyFont="1" applyAlignment="1">
      <alignment horizontal="center"/>
    </xf>
    <xf numFmtId="173" fontId="11" fillId="0" borderId="0" xfId="0" applyNumberFormat="1" applyFont="1" applyAlignment="1">
      <alignment horizontal="center"/>
    </xf>
    <xf numFmtId="1" fontId="11" fillId="0" borderId="0" xfId="0" applyNumberFormat="1" applyFont="1" applyAlignment="1">
      <alignment horizontal="center"/>
    </xf>
    <xf numFmtId="0" fontId="18" fillId="0" borderId="0" xfId="0" applyFont="1" applyAlignment="1">
      <alignment horizontal="left" indent="1"/>
    </xf>
    <xf numFmtId="0" fontId="0" fillId="0" borderId="0" xfId="0" applyAlignment="1">
      <alignment horizontal="center"/>
    </xf>
    <xf numFmtId="14" fontId="24" fillId="0" borderId="0" xfId="0" applyNumberFormat="1" applyFont="1"/>
    <xf numFmtId="1" fontId="24" fillId="0" borderId="0" xfId="0" applyNumberFormat="1" applyFont="1" applyAlignment="1">
      <alignment horizontal="center" vertical="top"/>
    </xf>
    <xf numFmtId="0" fontId="18" fillId="0" borderId="0" xfId="0" applyFont="1" applyAlignment="1">
      <alignment horizontal="center" vertical="top"/>
    </xf>
    <xf numFmtId="0" fontId="18" fillId="0" borderId="0" xfId="0" applyFont="1"/>
    <xf numFmtId="167" fontId="18" fillId="0" borderId="0" xfId="0" applyNumberFormat="1" applyFont="1"/>
    <xf numFmtId="173" fontId="11" fillId="0" borderId="0" xfId="0" applyNumberFormat="1" applyFont="1" applyAlignment="1">
      <alignment horizontal="center" vertical="top"/>
    </xf>
    <xf numFmtId="1" fontId="11" fillId="0" borderId="0" xfId="0" applyNumberFormat="1" applyFont="1" applyAlignment="1">
      <alignment horizontal="center" vertical="top"/>
    </xf>
    <xf numFmtId="1" fontId="18" fillId="0" borderId="0" xfId="0" applyNumberFormat="1" applyFont="1" applyAlignment="1">
      <alignment horizontal="center" vertical="top"/>
    </xf>
    <xf numFmtId="0" fontId="18" fillId="0" borderId="0" xfId="0" applyFont="1" applyAlignment="1">
      <alignment vertical="top" wrapText="1"/>
    </xf>
    <xf numFmtId="1" fontId="33" fillId="0" borderId="0" xfId="0" applyNumberFormat="1" applyFont="1"/>
    <xf numFmtId="1" fontId="18" fillId="0" borderId="0" xfId="0" applyNumberFormat="1" applyFont="1" applyAlignment="1">
      <alignment horizontal="center"/>
    </xf>
    <xf numFmtId="0" fontId="0" fillId="4" borderId="4" xfId="0" applyFill="1" applyBorder="1"/>
    <xf numFmtId="166" fontId="16" fillId="4" borderId="4" xfId="0" applyNumberFormat="1" applyFont="1" applyFill="1" applyBorder="1"/>
    <xf numFmtId="0" fontId="4" fillId="2" borderId="0" xfId="0" applyFont="1" applyFill="1" applyAlignment="1">
      <alignment horizontal="center" vertical="center" wrapText="1"/>
    </xf>
    <xf numFmtId="164" fontId="6" fillId="2" borderId="0" xfId="0" applyNumberFormat="1" applyFont="1" applyFill="1" applyAlignment="1">
      <alignment horizontal="center" vertical="center" wrapText="1"/>
    </xf>
    <xf numFmtId="165" fontId="6" fillId="2" borderId="0" xfId="0" applyNumberFormat="1" applyFont="1" applyFill="1" applyAlignment="1">
      <alignment horizontal="center" vertical="center" wrapText="1"/>
    </xf>
    <xf numFmtId="0" fontId="10" fillId="3" borderId="0" xfId="0" applyFont="1" applyFill="1" applyAlignment="1">
      <alignment horizontal="center" vertical="center" wrapText="1"/>
    </xf>
    <xf numFmtId="0" fontId="14" fillId="0" borderId="2" xfId="0" applyFont="1" applyBorder="1"/>
    <xf numFmtId="0" fontId="17" fillId="0" borderId="2" xfId="0" applyFont="1" applyBorder="1"/>
    <xf numFmtId="0" fontId="14" fillId="4" borderId="3" xfId="0" applyFont="1" applyFill="1" applyBorder="1"/>
    <xf numFmtId="0" fontId="17" fillId="5" borderId="2" xfId="0" applyFont="1" applyFill="1" applyBorder="1" applyAlignment="1">
      <alignment indent="1"/>
    </xf>
    <xf numFmtId="0" fontId="17" fillId="6" borderId="2" xfId="0" applyFont="1" applyFill="1" applyBorder="1" applyAlignment="1">
      <alignment indent="1"/>
    </xf>
    <xf numFmtId="0" fontId="17" fillId="7" borderId="2" xfId="0" applyFont="1" applyFill="1" applyBorder="1" applyAlignment="1">
      <alignment indent="1"/>
    </xf>
    <xf numFmtId="0" fontId="17" fillId="8" borderId="2" xfId="0" applyFont="1" applyFill="1" applyBorder="1" applyAlignment="1">
      <alignment indent="1"/>
    </xf>
    <xf numFmtId="0" fontId="20" fillId="0" borderId="2" xfId="0" applyFont="1" applyBorder="1" applyAlignment="1">
      <alignment indent="1"/>
    </xf>
    <xf numFmtId="0" fontId="21" fillId="2" borderId="0" xfId="0" applyFont="1" applyFill="1" applyAlignment="1">
      <alignment vertical="center" wrapText="1"/>
    </xf>
    <xf numFmtId="0" fontId="17" fillId="0" borderId="2" xfId="0" applyFont="1" applyBorder="1" applyAlignment="1">
      <alignment indent="1"/>
    </xf>
    <xf numFmtId="0" fontId="9" fillId="4" borderId="3" xfId="0" applyFont="1" applyFill="1" applyBorder="1" applyAlignment="1">
      <alignment indent="1"/>
    </xf>
    <xf numFmtId="0" fontId="11" fillId="0" borderId="2" xfId="0" applyFont="1" applyBorder="1"/>
    <xf numFmtId="0" fontId="15" fillId="4" borderId="3" xfId="0" applyFont="1" applyFill="1" applyBorder="1"/>
    <xf numFmtId="0" fontId="17" fillId="0" borderId="0" xfId="0" applyFont="1" applyAlignment="1">
      <alignment vertical="top" wrapText="1"/>
    </xf>
    <xf numFmtId="0" fontId="11" fillId="0" borderId="0" xfId="0" applyFont="1" applyAlignment="1">
      <alignment vertical="top" wrapText="1"/>
    </xf>
  </cellXfs>
  <cellStyles count="1">
    <cellStyle name="Normal" xfId="0" builtinId="0"/>
  </cellStyles>
  <dxfs count="8">
    <dxf>
      <fill>
        <patternFill>
          <bgColor rgb="FFFFC7CE"/>
        </patternFill>
      </fill>
    </dxf>
    <dxf>
      <fill>
        <patternFill>
          <bgColor rgb="FFFFEB9C"/>
        </patternFill>
      </fill>
    </dxf>
    <dxf>
      <fill>
        <patternFill>
          <bgColor rgb="FFE2EFDA"/>
        </patternFill>
      </fill>
    </dxf>
    <dxf>
      <fill>
        <patternFill>
          <bgColor rgb="FFC6EFCE"/>
        </patternFill>
      </fill>
    </dxf>
    <dxf>
      <fill>
        <patternFill>
          <bgColor rgb="FFFFC7CE"/>
        </patternFill>
      </fill>
    </dxf>
    <dxf>
      <fill>
        <patternFill>
          <bgColor rgb="FFFFEB9C"/>
        </patternFill>
      </fill>
    </dxf>
    <dxf>
      <fill>
        <patternFill>
          <bgColor rgb="FFE2EFDA"/>
        </patternFill>
      </fill>
    </dxf>
    <dxf>
      <fill>
        <patternFill>
          <bgColor rgb="FFC6EFCE"/>
        </patternFill>
      </fill>
    </dxf>
  </dxfs>
  <tableStyles count="0" defaultTableStyle="TableStyleMedium2" defaultPivotStyle="PivotStyleLight16"/>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DCE9F5"/>
      <rgbColor rgb="FF660066"/>
      <rgbColor rgb="FFFF8080"/>
      <rgbColor rgb="FF2172B9"/>
      <rgbColor rgb="FFE2EFDA"/>
      <rgbColor rgb="FF000080"/>
      <rgbColor rgb="FFFF00FF"/>
      <rgbColor rgb="FFFFFF00"/>
      <rgbColor rgb="FF00FFFF"/>
      <rgbColor rgb="FF800080"/>
      <rgbColor rgb="FF800000"/>
      <rgbColor rgb="FF008080"/>
      <rgbColor rgb="FF0000FF"/>
      <rgbColor rgb="FF00CCFF"/>
      <rgbColor rgb="FFEEF4FA"/>
      <rgbColor rgb="FFC6EFCE"/>
      <rgbColor rgb="FFFFEB9C"/>
      <rgbColor rgb="FF99CCFF"/>
      <rgbColor rgb="FFFF99CC"/>
      <rgbColor rgb="FFCC99FF"/>
      <rgbColor rgb="FFFFC7CE"/>
      <rgbColor rgb="FF3366FF"/>
      <rgbColor rgb="FF33CCCC"/>
      <rgbColor rgb="FF70AD47"/>
      <rgbColor rgb="FFFFC000"/>
      <rgbColor rgb="FFFF9900"/>
      <rgbColor rgb="FFED7D31"/>
      <rgbColor rgb="FF595959"/>
      <rgbColor rgb="FFA6A6A6"/>
      <rgbColor rgb="FF174F80"/>
      <rgbColor rgb="FF00B050"/>
      <rgbColor rgb="FF003300"/>
      <rgbColor rgb="FF333300"/>
      <rgbColor rgb="FF993300"/>
      <rgbColor rgb="FF993366"/>
      <rgbColor rgb="FF333399"/>
      <rgbColor rgb="FF404040"/>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_rels/chartEx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Ex1.xml><?xml version="1.0" encoding="utf-8"?>
<cx:chartSpace xmlns:a="http://schemas.openxmlformats.org/drawingml/2006/main" xmlns:r="http://schemas.openxmlformats.org/officeDocument/2006/relationships" xmlns:cx="http://schemas.microsoft.com/office/drawing/2014/chartex">
  <cx:chartData>
    <cx:data id="0">
      <cx:strDim type="cat">
        <cx:f>_xlchart.v5.0</cx:f>
      </cx:strDim>
      <cx:numDim type="val">
        <cx:f>_xlchart.v5.1</cx:f>
      </cx:numDim>
    </cx:data>
  </cx:chartData>
  <cx:chart>
    <cx:title pos="t" align="ctr" overlay="0">
      <cx:tx>
        <cx:txData>
          <cx:v>YTD to full-year run-rate: under / (over) budget</cx:v>
        </cx:txData>
      </cx:tx>
      <cx:txPr>
        <a:bodyPr spcFirstLastPara="1" vertOverflow="ellipsis" horzOverflow="overflow" wrap="square" lIns="0" tIns="0" rIns="0" bIns="0" anchor="ctr" anchorCtr="1"/>
        <a:lstStyle/>
        <a:p>
          <a:pPr algn="ctr" rtl="0">
            <a:defRPr b="1">
              <a:solidFill>
                <a:sysClr val="windowText" lastClr="000000"/>
              </a:solidFill>
            </a:defRPr>
          </a:pPr>
          <a:r>
            <a:rPr lang="en-US" sz="1400" b="1" i="0" u="none" strike="noStrike" baseline="0">
              <a:solidFill>
                <a:sysClr val="windowText" lastClr="000000"/>
              </a:solidFill>
              <a:latin typeface="Calibri"/>
            </a:rPr>
            <a:t>YTD to full-year run-rate: under / (over) budget</a:t>
          </a:r>
        </a:p>
      </cx:txPr>
    </cx:title>
    <cx:plotArea>
      <cx:plotAreaRegion>
        <cx:series layoutId="waterfall" uniqueId="{00000000-AD2F-44EB-81DD-5737D082CD49}" formatIdx="0">
          <cx:spPr>
            <a:ln>
              <a:noFill/>
            </a:ln>
          </cx:spPr>
          <cx:dataPt idx="0">
            <cx:spPr>
              <a:solidFill>
                <a:srgbClr val="000000"/>
              </a:solidFill>
            </cx:spPr>
          </cx:dataPt>
          <cx:dataPt idx="5">
            <cx:spPr>
              <a:solidFill>
                <a:srgbClr val="174F80"/>
              </a:solidFill>
            </cx:spPr>
          </cx:dataPt>
          <cx:dataLabels pos="outEnd">
            <cx:numFmt formatCode="$#,##0,&quot;K&quot;;($#,##0,&quot;K&quot;)" sourceLinked="0"/>
            <cx:txPr>
              <a:bodyPr spcFirstLastPara="1" vertOverflow="ellipsis" horzOverflow="overflow" wrap="square" lIns="0" tIns="0" rIns="0" bIns="0" anchor="ctr" anchorCtr="1"/>
              <a:lstStyle/>
              <a:p>
                <a:pPr algn="ctr" rtl="0">
                  <a:defRPr b="1">
                    <a:solidFill>
                      <a:sysClr val="windowText" lastClr="000000"/>
                    </a:solidFill>
                  </a:defRPr>
                </a:pPr>
                <a:endParaRPr lang="en-US" sz="900" b="1" i="0" u="none" strike="noStrike" baseline="0">
                  <a:solidFill>
                    <a:sysClr val="windowText" lastClr="000000"/>
                  </a:solidFill>
                  <a:latin typeface="Calibri"/>
                </a:endParaRPr>
              </a:p>
            </cx:txPr>
            <cx:visibility seriesName="0" categoryName="0" value="1"/>
            <cx:separator>, </cx:separator>
          </cx:dataLabels>
          <cx:dataId val="0"/>
          <cx:layoutPr>
            <cx:visibility connectorLines="0"/>
            <cx:subtotals>
              <cx:idx val="0"/>
              <cx:idx val="5"/>
            </cx:subtotals>
          </cx:layoutPr>
        </cx:series>
      </cx:plotAreaRegion>
      <cx:axis id="0">
        <cx:catScaling gapWidth="0.5"/>
        <cx:tickLabels/>
        <cx:numFmt formatCode="General" sourceLinked="0"/>
        <cx:spPr>
          <a:ln>
            <a:solidFill>
              <a:schemeClr val="tx1"/>
            </a:solidFill>
          </a:ln>
        </cx:spPr>
        <cx:txPr>
          <a:bodyPr vertOverflow="overflow" horzOverflow="overflow" wrap="square" lIns="0" tIns="0" rIns="0" bIns="0"/>
          <a:lstStyle/>
          <a:p>
            <a:pPr algn="ctr" rtl="0">
              <a:defRPr sz="900" b="1" i="0">
                <a:solidFill>
                  <a:sysClr val="windowText" lastClr="000000"/>
                </a:solidFill>
                <a:latin typeface="Calibri" panose="020F0502020204030204" pitchFamily="34" charset="0"/>
                <a:ea typeface="Calibri" panose="020F0502020204030204" pitchFamily="34" charset="0"/>
                <a:cs typeface="Calibri" panose="020F0502020204030204" pitchFamily="34" charset="0"/>
              </a:defRPr>
            </a:pPr>
            <a:endParaRPr lang="en-US" b="1">
              <a:solidFill>
                <a:sysClr val="windowText" lastClr="000000"/>
              </a:solidFill>
            </a:endParaRPr>
          </a:p>
        </cx:txPr>
      </cx:axis>
      <cx:axis id="1" hidden="1">
        <cx:valScaling/>
        <cx:majorGridlines>
          <cx:spPr>
            <a:ln w="6350">
              <a:solidFill>
                <a:srgbClr val="D9D9D9"/>
              </a:solidFill>
            </a:ln>
          </cx:spPr>
        </cx:majorGridlines>
        <cx:tickLabels/>
        <cx:numFmt formatCode="$#,##0,&quot;K&quot;;($#,##0,&quot;K&quot;)" sourceLinked="0"/>
        <cx:txPr>
          <a:bodyPr vertOverflow="overflow" horzOverflow="overflow" wrap="square" lIns="0" tIns="0" rIns="0" bIns="0"/>
          <a:lstStyle/>
          <a:p>
            <a:pPr algn="ctr" rtl="0">
              <a:defRPr sz="900" b="1" i="0">
                <a:solidFill>
                  <a:sysClr val="windowText" lastClr="000000"/>
                </a:solidFill>
                <a:latin typeface="Calibri" panose="020F0502020204030204" pitchFamily="34" charset="0"/>
                <a:ea typeface="Calibri" panose="020F0502020204030204" pitchFamily="34" charset="0"/>
                <a:cs typeface="Calibri" panose="020F0502020204030204" pitchFamily="34" charset="0"/>
              </a:defRPr>
            </a:pPr>
            <a:endParaRPr lang="en-US" b="1">
              <a:solidFill>
                <a:sysClr val="windowText" lastClr="000000"/>
              </a:solidFill>
            </a:endParaRPr>
          </a:p>
        </cx:txPr>
      </cx:axis>
    </cx:plotArea>
  </cx:chart>
  <cx:spPr>
    <a:noFill/>
    <a:ln>
      <a:noFill/>
    </a:ln>
  </cx:spPr>
  <cx:fmtOvrs>
    <cx:fmtOvr idx="0">
      <cx:spPr>
        <a:solidFill>
          <a:srgbClr val="70AD47"/>
        </a:solidFill>
      </cx:spPr>
    </cx:fmtOvr>
    <cx:fmtOvr idx="1">
      <cx:spPr>
        <a:solidFill>
          <a:srgbClr val="C00000"/>
        </a:solidFill>
      </cx:spPr>
    </cx:fmtOvr>
  </cx:fmtOvrs>
</cx: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95">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1" Type="http://schemas.microsoft.com/office/2014/relationships/chartEx" Target="../charts/chartEx1.xml"/></Relationships>
</file>

<file path=xl/drawings/drawing1.xml><?xml version="1.0" encoding="utf-8"?>
<xdr:wsDr xmlns:xdr="http://schemas.openxmlformats.org/drawingml/2006/spreadsheetDrawing" xmlns:a="http://schemas.openxmlformats.org/drawingml/2006/main">
  <xdr:twoCellAnchor>
    <xdr:from>
      <xdr:col>11</xdr:col>
      <xdr:colOff>42333</xdr:colOff>
      <xdr:row>51</xdr:row>
      <xdr:rowOff>0</xdr:rowOff>
    </xdr:from>
    <xdr:to>
      <xdr:col>23</xdr:col>
      <xdr:colOff>31750</xdr:colOff>
      <xdr:row>65</xdr:row>
      <xdr:rowOff>0</xdr:rowOff>
    </xdr:to>
    <mc:AlternateContent xmlns:mc="http://schemas.openxmlformats.org/markup-compatibility/2006">
      <mc:Choice xmlns:cx4="http://schemas.microsoft.com/office/drawing/2016/5/10/chartex" Requires="cx4">
        <xdr:graphicFrame macro="">
          <xdr:nvGraphicFramePr>
            <xdr:cNvPr id="3" name="YTD to full-year bridge">
              <a:extLst>
                <a:ext uri="{FF2B5EF4-FFF2-40B4-BE49-F238E27FC236}">
                  <a16:creationId xmlns:a16="http://schemas.microsoft.com/office/drawing/2014/main" id="{8F168F38-EC21-AF91-D5F3-8143F8C4596C}"/>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
            </a:graphicData>
          </a:graphic>
        </xdr:graphicFrame>
      </mc:Choice>
      <mc:Fallback>
        <xdr:sp macro="" textlink="">
          <xdr:nvSpPr>
            <xdr:cNvPr id="0" name=""/>
            <xdr:cNvSpPr>
              <a:spLocks noTextEdit="1"/>
            </xdr:cNvSpPr>
          </xdr:nvSpPr>
          <xdr:spPr>
            <a:xfrm>
              <a:off x="13872633" y="10953750"/>
              <a:ext cx="6418792" cy="3390900"/>
            </a:xfrm>
            <a:prstGeom prst="rect">
              <a:avLst/>
            </a:prstGeom>
            <a:solidFill>
              <a:prstClr val="white"/>
            </a:solidFill>
            <a:ln w="1">
              <a:solidFill>
                <a:prstClr val="green"/>
              </a:solidFill>
            </a:ln>
          </xdr:spPr>
          <xdr:txBody>
            <a:bodyPr vertOverflow="clip" horzOverflow="clip"/>
            <a:lstStyle/>
            <a:p>
              <a:r>
                <a:rPr lang="en-US" sz="1100"/>
                <a:t>This chart isn't available in your version of Excel.
Editing this shape or saving this workbook into a different file format will permanently break the chart.</a:t>
              </a:r>
            </a:p>
          </xdr:txBody>
        </xdr:sp>
      </mc:Fallback>
    </mc:AlternateContent>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2172B9"/>
    <pageSetUpPr fitToPage="1"/>
  </sheetPr>
  <dimension ref="A1:L77"/>
  <sheetViews>
    <sheetView showGridLines="0" tabSelected="1" zoomScale="90" zoomScaleNormal="90" workbookViewId="0">
      <pane ySplit="3" topLeftCell="A4" activePane="bottomLeft" state="frozen"/>
      <selection pane="bottomLeft"/>
    </sheetView>
  </sheetViews>
  <sheetFormatPr defaultColWidth="8.7109375" defaultRowHeight="15" x14ac:dyDescent="0.25"/>
  <cols>
    <col min="1" max="1" width="12" customWidth="1"/>
    <col min="2" max="2" width="7" customWidth="1"/>
    <col min="3" max="3" width="26" customWidth="1"/>
    <col min="4" max="4" width="33.42578125" customWidth="1"/>
    <col min="5" max="5" width="15" customWidth="1"/>
    <col min="6" max="6" width="14" customWidth="1"/>
    <col min="7" max="7" width="12.85546875" customWidth="1"/>
    <col min="8" max="8" width="15" customWidth="1"/>
    <col min="9" max="9" width="27.5703125" customWidth="1"/>
    <col min="10" max="10" width="44" customWidth="1"/>
    <col min="11" max="12" width="0.5703125" customWidth="1"/>
  </cols>
  <sheetData>
    <row r="1" spans="1:11" ht="25.5" customHeight="1" x14ac:dyDescent="0.3">
      <c r="A1" s="6" t="s">
        <v>0</v>
      </c>
    </row>
    <row r="2" spans="1:11" x14ac:dyDescent="0.25">
      <c r="A2" s="7" t="str">
        <f>"As of "&amp;TEXT(Assumptions!$B$6,"mmm d, yyyy")&amp;"   ·   Illustrative data   ·   Costs include base pay, target bonus, and "&amp;TEXT(Assumptions!$B$11,"0%")&amp;" benefits and taxes"</f>
        <v>As of Aug 31, 2026   ·   Illustrative data   ·   Costs include base pay, target bonus, and 25% benefits and taxes</v>
      </c>
    </row>
    <row r="4" spans="1:11" ht="19.5" customHeight="1" x14ac:dyDescent="0.25">
      <c r="A4" s="8" t="s">
        <v>1</v>
      </c>
      <c r="B4" s="9"/>
      <c r="C4" s="9"/>
      <c r="D4" s="9"/>
      <c r="E4" s="9"/>
      <c r="F4" s="9"/>
      <c r="G4" s="9"/>
      <c r="H4" s="9"/>
      <c r="I4" s="9"/>
      <c r="J4" s="9"/>
    </row>
    <row r="6" spans="1:11" ht="25.5" customHeight="1" x14ac:dyDescent="0.25">
      <c r="A6" s="116" t="s">
        <v>2</v>
      </c>
      <c r="B6" s="116"/>
      <c r="C6" s="5" t="s">
        <v>3</v>
      </c>
      <c r="D6" s="5" t="s">
        <v>4</v>
      </c>
      <c r="E6" s="116" t="s">
        <v>5</v>
      </c>
      <c r="F6" s="116"/>
      <c r="G6" s="116" t="s">
        <v>6</v>
      </c>
      <c r="H6" s="116"/>
      <c r="I6" s="5" t="s">
        <v>7</v>
      </c>
      <c r="J6" s="10" t="str">
        <f>"FY27 room before this week (with "&amp;TEXT(Assumptions!$B$31,"0%")&amp;" vacancy)"</f>
        <v>FY27 room before this week (with 2% vacancy)</v>
      </c>
    </row>
    <row r="7" spans="1:11" ht="31.5" customHeight="1" x14ac:dyDescent="0.25">
      <c r="A7" s="117">
        <f>COUNTIF(Requests!$L$6:$L$20,"Pending")</f>
        <v>12</v>
      </c>
      <c r="B7" s="117"/>
      <c r="C7" s="4">
        <f>'Dept Summary'!$F$16</f>
        <v>505</v>
      </c>
      <c r="D7" s="11">
        <f>F55</f>
        <v>683397.91666666663</v>
      </c>
      <c r="E7" s="117">
        <f>'Dept Summary'!$J$16</f>
        <v>12</v>
      </c>
      <c r="F7" s="117"/>
      <c r="G7" s="118">
        <f>'Dept Summary'!$P$16</f>
        <v>526342.50000000303</v>
      </c>
      <c r="H7" s="118"/>
      <c r="I7" s="3">
        <f>'Dept Summary'!$M$16</f>
        <v>-542015</v>
      </c>
      <c r="J7" s="11">
        <f>G37</f>
        <v>710620.63399999845</v>
      </c>
    </row>
    <row r="8" spans="1:11" x14ac:dyDescent="0.25">
      <c r="J8" s="12" t="str">
        <f>"Without vacancy: "&amp;TEXT(G44/1000,"$#,##0\K;($#,##0\K)")&amp;""</f>
        <v>Without vacancy: ($468K)</v>
      </c>
    </row>
    <row r="9" spans="1:11" ht="19.5" customHeight="1" x14ac:dyDescent="0.25">
      <c r="A9" s="8" t="s">
        <v>8</v>
      </c>
      <c r="B9" s="9"/>
      <c r="C9" s="9"/>
      <c r="D9" s="9"/>
      <c r="E9" s="9"/>
      <c r="F9" s="9"/>
      <c r="G9" s="9"/>
      <c r="H9" s="9"/>
      <c r="I9" s="9"/>
      <c r="J9" s="9"/>
    </row>
    <row r="10" spans="1:11" x14ac:dyDescent="0.25">
      <c r="A10" s="13" t="str">
        <f>"Flags: pay more than "&amp;TEXT(Assumptions!$B$20,"0%")&amp;" over reference (Pay vs ref.) · Unbudgeted add (Type) · dept over by more than "&amp;TEXT(Assumptions!$B$21,"0%")&amp;" of its budget, counting easier requests first. 0 flags = approve, 1 = discuss, 2+ = send back."</f>
        <v>Flags: pay more than 5% over reference (Pay vs ref.) · Unbudgeted add (Type) · dept over by more than 1% of its budget, counting easier requests first. 0 flags = approve, 1 = discuss, 2+ = send back.</v>
      </c>
    </row>
    <row r="11" spans="1:11" ht="30" customHeight="1" x14ac:dyDescent="0.25">
      <c r="A11" s="2" t="s">
        <v>9</v>
      </c>
      <c r="B11" s="2" t="s">
        <v>10</v>
      </c>
      <c r="C11" s="2" t="s">
        <v>11</v>
      </c>
      <c r="D11" s="2" t="s">
        <v>12</v>
      </c>
      <c r="E11" s="2" t="s">
        <v>13</v>
      </c>
      <c r="F11" s="2" t="s">
        <v>14</v>
      </c>
      <c r="G11" s="2" t="s">
        <v>15</v>
      </c>
      <c r="H11" s="2" t="s">
        <v>16</v>
      </c>
      <c r="I11" s="2" t="s">
        <v>17</v>
      </c>
      <c r="J11" s="2" t="s">
        <v>18</v>
      </c>
    </row>
    <row r="12" spans="1:11" x14ac:dyDescent="0.25">
      <c r="A12" s="14" t="str">
        <f>IF($K12="","",INDEX(Requests!$AJ$6:$AJ$20,$K12))</f>
        <v>Fast-track</v>
      </c>
      <c r="B12" s="14" t="str">
        <f>IF($K12="","",INDEX(Requests!$A$6:$A$20,$K12))</f>
        <v>R01</v>
      </c>
      <c r="C12" s="14" t="str">
        <f>IF($K12="","",INDEX(Requests!$C$6:$C$20,$K12))</f>
        <v>Accounting &amp; Billing</v>
      </c>
      <c r="D12" s="14" t="str">
        <f>IF($K12="","",INDEX(Requests!$D$6:$D$20,$K12))</f>
        <v>Billing Specialist</v>
      </c>
      <c r="E12" s="14" t="str">
        <f>IF($K12="","",INDEX(Requests!$O$6:$O$20,$K12))</f>
        <v>Backfill</v>
      </c>
      <c r="F12" s="15">
        <f>IF($K12="","",INDEX(Requests!$H$6:$H$20,$K12))</f>
        <v>60000</v>
      </c>
      <c r="G12" s="16">
        <f>IF($K12="","",INDEX(Requests!$R$6:$R$20,$K12))</f>
        <v>2.9159519725557415E-2</v>
      </c>
      <c r="H12" s="15">
        <f>IF($K12="","",INDEX(Requests!$Y$6:$Y$20,$K12))</f>
        <v>2008.5</v>
      </c>
      <c r="I12" s="15">
        <f>IF($K12="","",INDEX(Requests!$AA$6:$AA$20,$K12))</f>
        <v>-187480</v>
      </c>
      <c r="J12" s="17" t="str">
        <f>IF($K12="","",INDEX(Requests!$AI$6:$AI$20,$K12))</f>
        <v>None</v>
      </c>
      <c r="K12" s="18">
        <f>IFERROR(MATCH(SMALL(Requests!$AL$6:$AL$20,1),Requests!$AL$6:$AL$20,0),"")</f>
        <v>1</v>
      </c>
    </row>
    <row r="13" spans="1:11" x14ac:dyDescent="0.25">
      <c r="A13" s="14" t="str">
        <f>IF($K13="","",INDEX(Requests!$AJ$6:$AJ$20,$K13))</f>
        <v>Fast-track</v>
      </c>
      <c r="B13" s="14" t="str">
        <f>IF($K13="","",INDEX(Requests!$A$6:$A$20,$K13))</f>
        <v>R06</v>
      </c>
      <c r="C13" s="14" t="str">
        <f>IF($K13="","",INDEX(Requests!$C$6:$C$20,$K13))</f>
        <v>Human Resources</v>
      </c>
      <c r="D13" s="14" t="str">
        <f>IF($K13="","",INDEX(Requests!$D$6:$D$20,$K13))</f>
        <v>Recruiter</v>
      </c>
      <c r="E13" s="14" t="str">
        <f>IF($K13="","",INDEX(Requests!$O$6:$O$20,$K13))</f>
        <v>Backfill</v>
      </c>
      <c r="F13" s="15">
        <f>IF($K13="","",INDEX(Requests!$H$6:$H$20,$K13))</f>
        <v>84500</v>
      </c>
      <c r="G13" s="16">
        <f>IF($K13="","",INDEX(Requests!$R$6:$R$20,$K13))</f>
        <v>-2.0857473928157622E-2</v>
      </c>
      <c r="H13" s="15">
        <f>IF($K13="","",INDEX(Requests!$Y$6:$Y$20,$K13))</f>
        <v>-1390.5</v>
      </c>
      <c r="I13" s="15">
        <f>IF($K13="","",INDEX(Requests!$AA$6:$AA$20,$K13))</f>
        <v>4195</v>
      </c>
      <c r="J13" s="17" t="str">
        <f>IF($K13="","",INDEX(Requests!$AI$6:$AI$20,$K13))</f>
        <v>None</v>
      </c>
      <c r="K13" s="18">
        <f>IFERROR(MATCH(SMALL(Requests!$AL$6:$AL$20,2),Requests!$AL$6:$AL$20,0),"")</f>
        <v>6</v>
      </c>
    </row>
    <row r="14" spans="1:11" x14ac:dyDescent="0.25">
      <c r="A14" s="14" t="str">
        <f>IF($K14="","",INDEX(Requests!$AJ$6:$AJ$20,$K14))</f>
        <v>Fast-track</v>
      </c>
      <c r="B14" s="14" t="str">
        <f>IF($K14="","",INDEX(Requests!$A$6:$A$20,$K14))</f>
        <v>R11</v>
      </c>
      <c r="C14" s="14" t="str">
        <f>IF($K14="","",INDEX(Requests!$C$6:$C$20,$K14))</f>
        <v>Legal &amp; Compliance</v>
      </c>
      <c r="D14" s="14" t="str">
        <f>IF($K14="","",INDEX(Requests!$D$6:$D$20,$K14))</f>
        <v>Compliance Manager</v>
      </c>
      <c r="E14" s="14" t="str">
        <f>IF($K14="","",INDEX(Requests!$O$6:$O$20,$K14))</f>
        <v>Backfill</v>
      </c>
      <c r="F14" s="15">
        <f>IF($K14="","",INDEX(Requests!$H$6:$H$20,$K14))</f>
        <v>124000</v>
      </c>
      <c r="G14" s="16">
        <f>IF($K14="","",INDEX(Requests!$R$6:$R$20,$K14))</f>
        <v>1.8062397372742289E-2</v>
      </c>
      <c r="H14" s="15">
        <f>IF($K14="","",INDEX(Requests!$Y$6:$Y$20,$K14))</f>
        <v>5768</v>
      </c>
      <c r="I14" s="15">
        <f>IF($K14="","",INDEX(Requests!$AA$6:$AA$20,$K14))</f>
        <v>-12420</v>
      </c>
      <c r="J14" s="17" t="str">
        <f>IF($K14="","",INDEX(Requests!$AI$6:$AI$20,$K14))</f>
        <v>None</v>
      </c>
      <c r="K14" s="18">
        <f>IFERROR(MATCH(SMALL(Requests!$AL$6:$AL$20,3),Requests!$AL$6:$AL$20,0),"")</f>
        <v>11</v>
      </c>
    </row>
    <row r="15" spans="1:11" x14ac:dyDescent="0.25">
      <c r="A15" s="14" t="str">
        <f>IF($K15="","",INDEX(Requests!$AJ$6:$AJ$20,$K15))</f>
        <v>Approve</v>
      </c>
      <c r="B15" s="14" t="str">
        <f>IF($K15="","",INDEX(Requests!$A$6:$A$20,$K15))</f>
        <v>R03</v>
      </c>
      <c r="C15" s="14" t="str">
        <f>IF($K15="","",INDEX(Requests!$C$6:$C$20,$K15))</f>
        <v>IT &amp; Business Intelligence</v>
      </c>
      <c r="D15" s="14" t="str">
        <f>IF($K15="","",INDEX(Requests!$D$6:$D$20,$K15))</f>
        <v>BI Developer</v>
      </c>
      <c r="E15" s="14" t="str">
        <f>IF($K15="","",INDEX(Requests!$O$6:$O$20,$K15))</f>
        <v>Budgeted add</v>
      </c>
      <c r="F15" s="15">
        <f>IF($K15="","",INDEX(Requests!$H$6:$H$20,$K15))</f>
        <v>75500</v>
      </c>
      <c r="G15" s="16">
        <f>IF($K15="","",INDEX(Requests!$R$6:$R$20,$K15))</f>
        <v>-1.3071895424836555E-2</v>
      </c>
      <c r="H15" s="15">
        <f>IF($K15="","",INDEX(Requests!$Y$6:$Y$20,$K15))</f>
        <v>-1390.5</v>
      </c>
      <c r="I15" s="15">
        <f>IF($K15="","",INDEX(Requests!$AA$6:$AA$20,$K15))</f>
        <v>-9395</v>
      </c>
      <c r="J15" s="17" t="str">
        <f>IF($K15="","",INDEX(Requests!$AI$6:$AI$20,$K15))</f>
        <v>None</v>
      </c>
      <c r="K15" s="18">
        <f>IFERROR(MATCH(SMALL(Requests!$AL$6:$AL$20,4),Requests!$AL$6:$AL$20,0),"")</f>
        <v>3</v>
      </c>
    </row>
    <row r="16" spans="1:11" ht="25.5" customHeight="1" x14ac:dyDescent="0.25">
      <c r="A16" s="14" t="str">
        <f>IF($K16="","",INDEX(Requests!$AJ$6:$AJ$20,$K16))</f>
        <v>Approve</v>
      </c>
      <c r="B16" s="14" t="str">
        <f>IF($K16="","",INDEX(Requests!$A$6:$A$20,$K16))</f>
        <v>R08</v>
      </c>
      <c r="C16" s="14" t="str">
        <f>IF($K16="","",INDEX(Requests!$C$6:$C$20,$K16))</f>
        <v>Clinical Services</v>
      </c>
      <c r="D16" s="14" t="str">
        <f>IF($K16="","",INDEX(Requests!$D$6:$D$20,$K16))</f>
        <v>Clinical Education Manager</v>
      </c>
      <c r="E16" s="14" t="str">
        <f>IF($K16="","",INDEX(Requests!$O$6:$O$20,$K16))</f>
        <v>Deal-funded add</v>
      </c>
      <c r="F16" s="15">
        <f>IF($K16="","",INDEX(Requests!$H$6:$H$20,$K16))</f>
        <v>128000</v>
      </c>
      <c r="G16" s="16">
        <f>IF($K16="","",INDEX(Requests!$R$6:$R$20,$K16))</f>
        <v>2.4000000000000021E-2</v>
      </c>
      <c r="H16" s="15">
        <f>IF($K16="","",INDEX(Requests!$Y$6:$Y$20,$K16))</f>
        <v>184576</v>
      </c>
      <c r="I16" s="15">
        <f>IF($K16="","",INDEX(Requests!$AA$6:$AA$20,$K16))</f>
        <v>-9965</v>
      </c>
      <c r="J16" s="17" t="str">
        <f>IF($K16="","",INDEX(Requests!$AI$6:$AI$20,$K16))</f>
        <v>None: deal-funded; 3 months before close ($45K integration cost)</v>
      </c>
      <c r="K16" s="18">
        <f>IFERROR(MATCH(SMALL(Requests!$AL$6:$AL$20,5),Requests!$AL$6:$AL$20,0),"")</f>
        <v>8</v>
      </c>
    </row>
    <row r="17" spans="1:11" x14ac:dyDescent="0.25">
      <c r="A17" s="14" t="str">
        <f>IF($K17="","",INDEX(Requests!$AJ$6:$AJ$20,$K17))</f>
        <v>Approve</v>
      </c>
      <c r="B17" s="14" t="str">
        <f>IF($K17="","",INDEX(Requests!$A$6:$A$20,$K17))</f>
        <v>R09</v>
      </c>
      <c r="C17" s="14" t="str">
        <f>IF($K17="","",INDEX(Requests!$C$6:$C$20,$K17))</f>
        <v>Finance &amp; Treasury</v>
      </c>
      <c r="D17" s="14" t="str">
        <f>IF($K17="","",INDEX(Requests!$D$6:$D$20,$K17))</f>
        <v>Senior Financial Analyst</v>
      </c>
      <c r="E17" s="14" t="str">
        <f>IF($K17="","",INDEX(Requests!$O$6:$O$20,$K17))</f>
        <v>Budgeted add</v>
      </c>
      <c r="F17" s="15">
        <f>IF($K17="","",INDEX(Requests!$H$6:$H$20,$K17))</f>
        <v>75500</v>
      </c>
      <c r="G17" s="16">
        <f>IF($K17="","",INDEX(Requests!$R$6:$R$20,$K17))</f>
        <v>0</v>
      </c>
      <c r="H17" s="15">
        <f>IF($K17="","",INDEX(Requests!$Y$6:$Y$20,$K17))</f>
        <v>0</v>
      </c>
      <c r="I17" s="15">
        <f>IF($K17="","",INDEX(Requests!$AA$6:$AA$20,$K17))</f>
        <v>-9725</v>
      </c>
      <c r="J17" s="17" t="str">
        <f>IF($K17="","",INDEX(Requests!$AI$6:$AI$20,$K17))</f>
        <v>None</v>
      </c>
      <c r="K17" s="18">
        <f>IFERROR(MATCH(SMALL(Requests!$AL$6:$AL$20,6),Requests!$AL$6:$AL$20,0),"")</f>
        <v>9</v>
      </c>
    </row>
    <row r="18" spans="1:11" x14ac:dyDescent="0.25">
      <c r="A18" s="14" t="str">
        <f>IF($K18="","",INDEX(Requests!$AJ$6:$AJ$20,$K18))</f>
        <v>Approve</v>
      </c>
      <c r="B18" s="14" t="str">
        <f>IF($K18="","",INDEX(Requests!$A$6:$A$20,$K18))</f>
        <v>R12</v>
      </c>
      <c r="C18" s="14" t="str">
        <f>IF($K18="","",INDEX(Requests!$C$6:$C$20,$K18))</f>
        <v>Operations Support</v>
      </c>
      <c r="D18" s="14" t="str">
        <f>IF($K18="","",INDEX(Requests!$D$6:$D$20,$K18))</f>
        <v>Operations Manager</v>
      </c>
      <c r="E18" s="14" t="str">
        <f>IF($K18="","",INDEX(Requests!$O$6:$O$20,$K18))</f>
        <v>Budgeted add</v>
      </c>
      <c r="F18" s="15">
        <f>IF($K18="","",INDEX(Requests!$H$6:$H$20,$K18))</f>
        <v>133500</v>
      </c>
      <c r="G18" s="16">
        <f>IF($K18="","",INDEX(Requests!$R$6:$R$20,$K18))</f>
        <v>3.0888030888030826E-2</v>
      </c>
      <c r="H18" s="15">
        <f>IF($K18="","",INDEX(Requests!$Y$6:$Y$20,$K18))</f>
        <v>5768</v>
      </c>
      <c r="I18" s="15">
        <f>IF($K18="","",INDEX(Requests!$AA$6:$AA$20,$K18))</f>
        <v>-18020</v>
      </c>
      <c r="J18" s="17" t="str">
        <f>IF($K18="","",INDEX(Requests!$AI$6:$AI$20,$K18))</f>
        <v>None</v>
      </c>
      <c r="K18" s="18">
        <f>IFERROR(MATCH(SMALL(Requests!$AL$6:$AL$20,7),Requests!$AL$6:$AL$20,0),"")</f>
        <v>12</v>
      </c>
    </row>
    <row r="19" spans="1:11" x14ac:dyDescent="0.25">
      <c r="A19" s="14" t="str">
        <f>IF($K19="","",INDEX(Requests!$AJ$6:$AJ$20,$K19))</f>
        <v>Review</v>
      </c>
      <c r="B19" s="14" t="str">
        <f>IF($K19="","",INDEX(Requests!$A$6:$A$20,$K19))</f>
        <v>R02</v>
      </c>
      <c r="C19" s="14" t="str">
        <f>IF($K19="","",INDEX(Requests!$C$6:$C$20,$K19))</f>
        <v>Operations Support</v>
      </c>
      <c r="D19" s="14" t="str">
        <f>IF($K19="","",INDEX(Requests!$D$6:$D$20,$K19))</f>
        <v>Regional Operations Analyst</v>
      </c>
      <c r="E19" s="14" t="str">
        <f>IF($K19="","",INDEX(Requests!$O$6:$O$20,$K19))</f>
        <v>Backfill</v>
      </c>
      <c r="F19" s="15">
        <f>IF($K19="","",INDEX(Requests!$H$6:$H$20,$K19))</f>
        <v>91000</v>
      </c>
      <c r="G19" s="16">
        <f>IF($K19="","",INDEX(Requests!$R$6:$R$20,$K19))</f>
        <v>0.11931119311193106</v>
      </c>
      <c r="H19" s="15">
        <f>IF($K19="","",INDEX(Requests!$Y$6:$Y$20,$K19))</f>
        <v>14600.250000000015</v>
      </c>
      <c r="I19" s="15">
        <f>IF($K19="","",INDEX(Requests!$AA$6:$AA$20,$K19))</f>
        <v>-32195.000000000015</v>
      </c>
      <c r="J19" s="17" t="str">
        <f>IF($K19="","",INDEX(Requests!$AI$6:$AI$20,$K19))</f>
        <v>Pay +12% vs last person's pay</v>
      </c>
      <c r="K19" s="18">
        <f>IFERROR(MATCH(SMALL(Requests!$AL$6:$AL$20,8),Requests!$AL$6:$AL$20,0),"")</f>
        <v>2</v>
      </c>
    </row>
    <row r="20" spans="1:11" x14ac:dyDescent="0.25">
      <c r="A20" s="14" t="str">
        <f>IF($K20="","",INDEX(Requests!$AJ$6:$AJ$20,$K20))</f>
        <v>Review</v>
      </c>
      <c r="B20" s="14" t="str">
        <f>IF($K20="","",INDEX(Requests!$A$6:$A$20,$K20))</f>
        <v>R07</v>
      </c>
      <c r="C20" s="14" t="str">
        <f>IF($K20="","",INDEX(Requests!$C$6:$C$20,$K20))</f>
        <v>Marketing</v>
      </c>
      <c r="D20" s="14" t="str">
        <f>IF($K20="","",INDEX(Requests!$D$6:$D$20,$K20))</f>
        <v>Marketing Manager</v>
      </c>
      <c r="E20" s="14" t="str">
        <f>IF($K20="","",INDEX(Requests!$O$6:$O$20,$K20))</f>
        <v>Budgeted add</v>
      </c>
      <c r="F20" s="15">
        <f>IF($K20="","",INDEX(Requests!$H$6:$H$20,$K20))</f>
        <v>137000</v>
      </c>
      <c r="G20" s="16">
        <f>IF($K20="","",INDEX(Requests!$R$6:$R$20,$K20))</f>
        <v>7.8740157480315043E-2</v>
      </c>
      <c r="H20" s="15">
        <f>IF($K20="","",INDEX(Requests!$Y$6:$Y$20,$K20))</f>
        <v>14420</v>
      </c>
      <c r="I20" s="15">
        <f>IF($K20="","",INDEX(Requests!$AA$6:$AA$20,$K20))</f>
        <v>-11580</v>
      </c>
      <c r="J20" s="17" t="str">
        <f>IF($K20="","",INDEX(Requests!$AI$6:$AI$20,$K20))</f>
        <v>Pay +8% vs budget pay</v>
      </c>
      <c r="K20" s="18">
        <f>IFERROR(MATCH(SMALL(Requests!$AL$6:$AL$20,9),Requests!$AL$6:$AL$20,0),"")</f>
        <v>7</v>
      </c>
    </row>
    <row r="21" spans="1:11" x14ac:dyDescent="0.25">
      <c r="A21" s="14" t="str">
        <f>IF($K21="","",INDEX(Requests!$AJ$6:$AJ$20,$K21))</f>
        <v>Review</v>
      </c>
      <c r="B21" s="14" t="str">
        <f>IF($K21="","",INDEX(Requests!$A$6:$A$20,$K21))</f>
        <v>R10</v>
      </c>
      <c r="C21" s="14" t="str">
        <f>IF($K21="","",INDEX(Requests!$C$6:$C$20,$K21))</f>
        <v>Design &amp; Development</v>
      </c>
      <c r="D21" s="14" t="str">
        <f>IF($K21="","",INDEX(Requests!$D$6:$D$20,$K21))</f>
        <v>Design Coordinator</v>
      </c>
      <c r="E21" s="14" t="str">
        <f>IF($K21="","",INDEX(Requests!$O$6:$O$20,$K21))</f>
        <v>Unbudgeted add</v>
      </c>
      <c r="F21" s="15">
        <f>IF($K21="","",INDEX(Requests!$H$6:$H$20,$K21))</f>
        <v>60000</v>
      </c>
      <c r="G21" s="16">
        <f>IF($K21="","",INDEX(Requests!$R$6:$R$20,$K21))</f>
        <v>-3.2258064516129004E-2</v>
      </c>
      <c r="H21" s="15">
        <f>IF($K21="","",INDEX(Requests!$Y$6:$Y$20,$K21))</f>
        <v>80340</v>
      </c>
      <c r="I21" s="15">
        <f>IF($K21="","",INDEX(Requests!$AA$6:$AA$20,$K21))</f>
        <v>12375</v>
      </c>
      <c r="J21" s="17" t="str">
        <f>IF($K21="","",INDEX(Requests!$AI$6:$AI$20,$K21))</f>
        <v>Not in FY26 budget</v>
      </c>
      <c r="K21" s="18">
        <f>IFERROR(MATCH(SMALL(Requests!$AL$6:$AL$20,10),Requests!$AL$6:$AL$20,0),"")</f>
        <v>10</v>
      </c>
    </row>
    <row r="22" spans="1:11" x14ac:dyDescent="0.25">
      <c r="A22" s="14" t="str">
        <f>IF($K22="","",INDEX(Requests!$AJ$6:$AJ$20,$K22))</f>
        <v>Challenge</v>
      </c>
      <c r="B22" s="14" t="str">
        <f>IF($K22="","",INDEX(Requests!$A$6:$A$20,$K22))</f>
        <v>R04</v>
      </c>
      <c r="C22" s="14" t="str">
        <f>IF($K22="","",INDEX(Requests!$C$6:$C$20,$K22))</f>
        <v>IT &amp; Business Intelligence</v>
      </c>
      <c r="D22" s="14" t="str">
        <f>IF($K22="","",INDEX(Requests!$D$6:$D$20,$K22))</f>
        <v>Data Engineer</v>
      </c>
      <c r="E22" s="14" t="str">
        <f>IF($K22="","",INDEX(Requests!$O$6:$O$20,$K22))</f>
        <v>Unbudgeted add</v>
      </c>
      <c r="F22" s="15">
        <f>IF($K22="","",INDEX(Requests!$H$6:$H$20,$K22))</f>
        <v>118000</v>
      </c>
      <c r="G22" s="16">
        <f>IF($K22="","",INDEX(Requests!$R$6:$R$20,$K22))</f>
        <v>2.6086956521739202E-2</v>
      </c>
      <c r="H22" s="15">
        <f>IF($K22="","",INDEX(Requests!$Y$6:$Y$20,$K22))</f>
        <v>164079</v>
      </c>
      <c r="I22" s="15">
        <f>IF($K22="","",INDEX(Requests!$AA$6:$AA$20,$K22))</f>
        <v>-168695</v>
      </c>
      <c r="J22" s="17" t="str">
        <f>IF($K22="","",INDEX(Requests!$AI$6:$AI$20,$K22))</f>
        <v>Not in FY26 budget; dept over after hire</v>
      </c>
      <c r="K22" s="18">
        <f>IFERROR(MATCH(SMALL(Requests!$AL$6:$AL$20,11),Requests!$AL$6:$AL$20,0),"")</f>
        <v>4</v>
      </c>
    </row>
    <row r="23" spans="1:11" x14ac:dyDescent="0.25">
      <c r="A23" s="14" t="str">
        <f>IF($K23="","",INDEX(Requests!$AJ$6:$AJ$20,$K23))</f>
        <v>Challenge</v>
      </c>
      <c r="B23" s="14" t="str">
        <f>IF($K23="","",INDEX(Requests!$A$6:$A$20,$K23))</f>
        <v>R05</v>
      </c>
      <c r="C23" s="14" t="str">
        <f>IF($K23="","",INDEX(Requests!$C$6:$C$20,$K23))</f>
        <v>Sales Support</v>
      </c>
      <c r="D23" s="14" t="str">
        <f>IF($K23="","",INDEX(Requests!$D$6:$D$20,$K23))</f>
        <v>Sales Coordinator</v>
      </c>
      <c r="E23" s="14" t="str">
        <f>IF($K23="","",INDEX(Requests!$O$6:$O$20,$K23))</f>
        <v>Unbudgeted add</v>
      </c>
      <c r="F23" s="15">
        <f>IF($K23="","",INDEX(Requests!$H$6:$H$20,$K23))</f>
        <v>62000</v>
      </c>
      <c r="G23" s="16">
        <f>IF($K23="","",INDEX(Requests!$R$6:$R$20,$K23))</f>
        <v>3.3333333333333437E-2</v>
      </c>
      <c r="H23" s="15">
        <f>IF($K23="","",INDEX(Requests!$Y$6:$Y$20,$K23))</f>
        <v>83018</v>
      </c>
      <c r="I23" s="15">
        <f>IF($K23="","",INDEX(Requests!$AA$6:$AA$20,$K23))</f>
        <v>-390890</v>
      </c>
      <c r="J23" s="17" t="str">
        <f>IF($K23="","",INDEX(Requests!$AI$6:$AI$20,$K23))</f>
        <v>Not in FY26 budget; dept over after hire</v>
      </c>
      <c r="K23" s="18">
        <f>IFERROR(MATCH(SMALL(Requests!$AL$6:$AL$20,12),Requests!$AL$6:$AL$20,0),"")</f>
        <v>5</v>
      </c>
    </row>
    <row r="24" spans="1:11" x14ac:dyDescent="0.25">
      <c r="A24" s="14" t="str">
        <f>IF($K24="","",INDEX(Requests!$AJ$6:$AJ$20,$K24))</f>
        <v/>
      </c>
      <c r="B24" s="14" t="str">
        <f>IF($K24="","",INDEX(Requests!$A$6:$A$20,$K24))</f>
        <v/>
      </c>
      <c r="C24" s="14" t="str">
        <f>IF($K24="","",INDEX(Requests!$C$6:$C$20,$K24))</f>
        <v/>
      </c>
      <c r="D24" s="14" t="str">
        <f>IF($K24="","",INDEX(Requests!$D$6:$D$20,$K24))</f>
        <v/>
      </c>
      <c r="E24" s="14" t="str">
        <f>IF($K24="","",INDEX(Requests!$O$6:$O$20,$K24))</f>
        <v/>
      </c>
      <c r="F24" s="15" t="str">
        <f>IF($K24="","",INDEX(Requests!$H$6:$H$20,$K24))</f>
        <v/>
      </c>
      <c r="G24" s="16" t="str">
        <f>IF($K24="","",INDEX(Requests!$R$6:$R$20,$K24))</f>
        <v/>
      </c>
      <c r="H24" s="15" t="str">
        <f>IF($K24="","",INDEX(Requests!$Y$6:$Y$20,$K24))</f>
        <v/>
      </c>
      <c r="I24" s="15" t="str">
        <f>IF($K24="","",INDEX(Requests!$AA$6:$AA$20,$K24))</f>
        <v/>
      </c>
      <c r="J24" s="17" t="str">
        <f>IF($K24="","",INDEX(Requests!$AI$6:$AI$20,$K24))</f>
        <v/>
      </c>
      <c r="K24" s="18" t="str">
        <f>IFERROR(MATCH(SMALL(Requests!$AL$6:$AL$20,13),Requests!$AL$6:$AL$20,0),"")</f>
        <v/>
      </c>
    </row>
    <row r="25" spans="1:11" x14ac:dyDescent="0.25">
      <c r="A25" s="14" t="str">
        <f>IF($K25="","",INDEX(Requests!$AJ$6:$AJ$20,$K25))</f>
        <v/>
      </c>
      <c r="B25" s="14" t="str">
        <f>IF($K25="","",INDEX(Requests!$A$6:$A$20,$K25))</f>
        <v/>
      </c>
      <c r="C25" s="14" t="str">
        <f>IF($K25="","",INDEX(Requests!$C$6:$C$20,$K25))</f>
        <v/>
      </c>
      <c r="D25" s="14" t="str">
        <f>IF($K25="","",INDEX(Requests!$D$6:$D$20,$K25))</f>
        <v/>
      </c>
      <c r="E25" s="14" t="str">
        <f>IF($K25="","",INDEX(Requests!$O$6:$O$20,$K25))</f>
        <v/>
      </c>
      <c r="F25" s="15" t="str">
        <f>IF($K25="","",INDEX(Requests!$H$6:$H$20,$K25))</f>
        <v/>
      </c>
      <c r="G25" s="16" t="str">
        <f>IF($K25="","",INDEX(Requests!$R$6:$R$20,$K25))</f>
        <v/>
      </c>
      <c r="H25" s="15" t="str">
        <f>IF($K25="","",INDEX(Requests!$Y$6:$Y$20,$K25))</f>
        <v/>
      </c>
      <c r="I25" s="15" t="str">
        <f>IF($K25="","",INDEX(Requests!$AA$6:$AA$20,$K25))</f>
        <v/>
      </c>
      <c r="J25" s="17" t="str">
        <f>IF($K25="","",INDEX(Requests!$AI$6:$AI$20,$K25))</f>
        <v/>
      </c>
      <c r="K25" s="18" t="str">
        <f>IFERROR(MATCH(SMALL(Requests!$AL$6:$AL$20,14),Requests!$AL$6:$AL$20,0),"")</f>
        <v/>
      </c>
    </row>
    <row r="26" spans="1:11" x14ac:dyDescent="0.25">
      <c r="A26" s="14" t="str">
        <f>IF($K26="","",INDEX(Requests!$AJ$6:$AJ$20,$K26))</f>
        <v/>
      </c>
      <c r="B26" s="14" t="str">
        <f>IF($K26="","",INDEX(Requests!$A$6:$A$20,$K26))</f>
        <v/>
      </c>
      <c r="C26" s="14" t="str">
        <f>IF($K26="","",INDEX(Requests!$C$6:$C$20,$K26))</f>
        <v/>
      </c>
      <c r="D26" s="14" t="str">
        <f>IF($K26="","",INDEX(Requests!$D$6:$D$20,$K26))</f>
        <v/>
      </c>
      <c r="E26" s="14" t="str">
        <f>IF($K26="","",INDEX(Requests!$O$6:$O$20,$K26))</f>
        <v/>
      </c>
      <c r="F26" s="15" t="str">
        <f>IF($K26="","",INDEX(Requests!$H$6:$H$20,$K26))</f>
        <v/>
      </c>
      <c r="G26" s="16" t="str">
        <f>IF($K26="","",INDEX(Requests!$R$6:$R$20,$K26))</f>
        <v/>
      </c>
      <c r="H26" s="15" t="str">
        <f>IF($K26="","",INDEX(Requests!$Y$6:$Y$20,$K26))</f>
        <v/>
      </c>
      <c r="I26" s="15" t="str">
        <f>IF($K26="","",INDEX(Requests!$AA$6:$AA$20,$K26))</f>
        <v/>
      </c>
      <c r="J26" s="17" t="str">
        <f>IF($K26="","",INDEX(Requests!$AI$6:$AI$20,$K26))</f>
        <v/>
      </c>
      <c r="K26" s="18" t="str">
        <f>IFERROR(MATCH(SMALL(Requests!$AL$6:$AL$20,15),Requests!$AL$6:$AL$20,0),"")</f>
        <v/>
      </c>
    </row>
    <row r="28" spans="1:11" ht="19.5" customHeight="1" x14ac:dyDescent="0.25">
      <c r="A28" s="8" t="s">
        <v>19</v>
      </c>
      <c r="B28" s="9"/>
      <c r="C28" s="9"/>
      <c r="D28" s="9"/>
      <c r="E28" s="9"/>
      <c r="F28" s="9"/>
      <c r="G28" s="9"/>
      <c r="H28" s="9"/>
      <c r="I28" s="9"/>
      <c r="J28" s="9"/>
    </row>
    <row r="29" spans="1:11" x14ac:dyDescent="0.25">
      <c r="A29" s="19" t="s">
        <v>20</v>
      </c>
    </row>
    <row r="30" spans="1:11" ht="30" customHeight="1" x14ac:dyDescent="0.25">
      <c r="A30" s="119" t="s">
        <v>21</v>
      </c>
      <c r="B30" s="119"/>
      <c r="C30" s="119"/>
      <c r="D30" s="119"/>
      <c r="E30" s="2" t="s">
        <v>22</v>
      </c>
      <c r="F30" s="2" t="s">
        <v>23</v>
      </c>
      <c r="G30" s="2" t="s">
        <v>24</v>
      </c>
    </row>
    <row r="31" spans="1:11" x14ac:dyDescent="0.25">
      <c r="A31" s="120" t="s">
        <v>25</v>
      </c>
      <c r="B31" s="120"/>
      <c r="C31" s="120"/>
      <c r="D31" s="120"/>
      <c r="F31" s="20">
        <f>'Dept Summary'!$M$16</f>
        <v>-542015</v>
      </c>
      <c r="G31" s="21">
        <f>F31</f>
        <v>-542015</v>
      </c>
    </row>
    <row r="32" spans="1:11" x14ac:dyDescent="0.25">
      <c r="A32" s="121" t="s">
        <v>26</v>
      </c>
      <c r="B32" s="121"/>
      <c r="C32" s="121"/>
      <c r="D32" s="121"/>
      <c r="F32" s="22">
        <f>'Dept Summary'!$K$16*Assumptions!$B$25*Assumptions!$B$26</f>
        <v>1360653</v>
      </c>
      <c r="G32" s="23">
        <f>G31+F32</f>
        <v>818638</v>
      </c>
    </row>
    <row r="33" spans="1:7" x14ac:dyDescent="0.25">
      <c r="A33" s="121" t="s">
        <v>27</v>
      </c>
      <c r="B33" s="121"/>
      <c r="C33" s="121"/>
      <c r="D33" s="121"/>
      <c r="E33" s="24">
        <f>COUNTIF(Acquisitions!$B$6:$B$10,"Yes")</f>
        <v>1</v>
      </c>
      <c r="F33" s="22">
        <f>Acquisitions!$P$11</f>
        <v>430000</v>
      </c>
      <c r="G33" s="23">
        <f>G32+F33</f>
        <v>1248638</v>
      </c>
    </row>
    <row r="34" spans="1:7" x14ac:dyDescent="0.25">
      <c r="A34" s="121" t="s">
        <v>28</v>
      </c>
      <c r="B34" s="121"/>
      <c r="C34" s="121"/>
      <c r="D34" s="121"/>
      <c r="F34" s="22">
        <f>-'Dept Summary'!$L$16*(Assumptions!$B$30-1)</f>
        <v>-1717076.7000000016</v>
      </c>
      <c r="G34" s="23">
        <f>G33+F34</f>
        <v>-468438.70000000158</v>
      </c>
    </row>
    <row r="35" spans="1:7" x14ac:dyDescent="0.25">
      <c r="A35" s="121" t="s">
        <v>29</v>
      </c>
      <c r="B35" s="121"/>
      <c r="C35" s="121"/>
      <c r="D35" s="121"/>
      <c r="F35" s="22">
        <f>'Dept Summary'!$L$16*Assumptions!$B$30*Assumptions!$B$31</f>
        <v>1179059.334</v>
      </c>
      <c r="G35" s="23">
        <f>G34+F35</f>
        <v>710620.63399999845</v>
      </c>
    </row>
    <row r="36" spans="1:7" x14ac:dyDescent="0.25">
      <c r="A36" s="121" t="s">
        <v>30</v>
      </c>
      <c r="B36" s="121"/>
      <c r="C36" s="121"/>
      <c r="D36" s="121"/>
      <c r="E36" s="86">
        <f>COUNTIF(Requests!$L$6:$L$20,"Approved")</f>
        <v>0</v>
      </c>
      <c r="F36" s="83">
        <f>-SUMIF(Requests!$L$6:$L$20,"Approved",Requests!$Y$6:$Y$20)</f>
        <v>0</v>
      </c>
      <c r="G36" s="82">
        <f>G35+F36</f>
        <v>710620.63399999845</v>
      </c>
    </row>
    <row r="37" spans="1:7" x14ac:dyDescent="0.25">
      <c r="A37" s="122" t="s">
        <v>31</v>
      </c>
      <c r="B37" s="122"/>
      <c r="C37" s="122"/>
      <c r="D37" s="122"/>
      <c r="E37" s="114"/>
      <c r="F37" s="114"/>
      <c r="G37" s="115">
        <f>G36</f>
        <v>710620.63399999845</v>
      </c>
    </row>
    <row r="38" spans="1:7" x14ac:dyDescent="0.25">
      <c r="A38" s="123" t="s">
        <v>32</v>
      </c>
      <c r="B38" s="123"/>
      <c r="C38" s="123"/>
      <c r="D38" s="123"/>
      <c r="E38" s="24">
        <f>COUNTIFS(Requests!$AJ$6:$AJ$20,"Fast-track",Requests!$L$6:$L$20,"Pending")</f>
        <v>3</v>
      </c>
      <c r="F38" s="22">
        <f>-SUMIFS(Requests!$Y$6:$Y$20,Requests!$AJ$6:$AJ$20,"Fast-track",Requests!$L$6:$L$20,"Pending")</f>
        <v>-6386</v>
      </c>
      <c r="G38" s="23">
        <f>G37+F38</f>
        <v>704234.63399999845</v>
      </c>
    </row>
    <row r="39" spans="1:7" x14ac:dyDescent="0.25">
      <c r="A39" s="124" t="s">
        <v>33</v>
      </c>
      <c r="B39" s="124"/>
      <c r="C39" s="124"/>
      <c r="D39" s="124"/>
      <c r="E39" s="24">
        <f>COUNTIFS(Requests!$AJ$6:$AJ$20,"Approve",Requests!$L$6:$L$20,"Pending")</f>
        <v>4</v>
      </c>
      <c r="F39" s="22">
        <f>-SUMIFS(Requests!$Y$6:$Y$20,Requests!$AJ$6:$AJ$20,"Approve",Requests!$L$6:$L$20,"Pending")</f>
        <v>-188953.5</v>
      </c>
      <c r="G39" s="23">
        <f>G38+F39</f>
        <v>515281.13399999845</v>
      </c>
    </row>
    <row r="40" spans="1:7" x14ac:dyDescent="0.25">
      <c r="A40" s="125" t="s">
        <v>34</v>
      </c>
      <c r="B40" s="125"/>
      <c r="C40" s="125"/>
      <c r="D40" s="125"/>
      <c r="E40" s="24">
        <f>COUNTIFS(Requests!$AJ$6:$AJ$20,"Review",Requests!$L$6:$L$20,"Pending")</f>
        <v>3</v>
      </c>
      <c r="F40" s="22">
        <f>-SUMIFS(Requests!$Y$6:$Y$20,Requests!$AJ$6:$AJ$20,"Review",Requests!$L$6:$L$20,"Pending")</f>
        <v>-109360.25000000001</v>
      </c>
      <c r="G40" s="23">
        <f>G39+F40</f>
        <v>405920.88399999845</v>
      </c>
    </row>
    <row r="41" spans="1:7" x14ac:dyDescent="0.25">
      <c r="A41" s="126" t="s">
        <v>35</v>
      </c>
      <c r="B41" s="126"/>
      <c r="C41" s="126"/>
      <c r="D41" s="126"/>
      <c r="E41" s="24">
        <f>COUNTIFS(Requests!$AJ$6:$AJ$20,"Challenge",Requests!$L$6:$L$20,"Pending")</f>
        <v>2</v>
      </c>
      <c r="F41" s="22">
        <f>-SUMIFS(Requests!$Y$6:$Y$20,Requests!$AJ$6:$AJ$20,"Challenge",Requests!$L$6:$L$20,"Pending")</f>
        <v>-247097</v>
      </c>
      <c r="G41" s="23">
        <f>G40+F41</f>
        <v>158823.88399999845</v>
      </c>
    </row>
    <row r="42" spans="1:7" x14ac:dyDescent="0.25">
      <c r="A42" s="122" t="s">
        <v>36</v>
      </c>
      <c r="B42" s="122"/>
      <c r="C42" s="122"/>
      <c r="D42" s="122"/>
      <c r="E42" s="27">
        <f>SUM(E38:E41)</f>
        <v>12</v>
      </c>
      <c r="F42" s="26">
        <f>SUM(F38:F41)</f>
        <v>-551796.75</v>
      </c>
      <c r="G42" s="26">
        <f>G41</f>
        <v>158823.88399999845</v>
      </c>
    </row>
    <row r="43" spans="1:7" x14ac:dyDescent="0.25">
      <c r="A43" s="28" t="s">
        <v>37</v>
      </c>
    </row>
    <row r="44" spans="1:7" x14ac:dyDescent="0.25">
      <c r="A44" s="127" t="s">
        <v>38</v>
      </c>
      <c r="B44" s="127"/>
      <c r="C44" s="127"/>
      <c r="D44" s="127"/>
      <c r="E44" s="127"/>
      <c r="G44" s="29">
        <f>G37-F35</f>
        <v>-468438.70000000158</v>
      </c>
    </row>
    <row r="45" spans="1:7" x14ac:dyDescent="0.25">
      <c r="A45" s="127" t="s">
        <v>39</v>
      </c>
      <c r="B45" s="127"/>
      <c r="C45" s="127"/>
      <c r="D45" s="127"/>
      <c r="E45" s="127"/>
      <c r="G45" s="29">
        <f>G42-F35</f>
        <v>-1020235.4500000016</v>
      </c>
    </row>
    <row r="46" spans="1:7" x14ac:dyDescent="0.25">
      <c r="A46" s="127" t="s">
        <v>40</v>
      </c>
      <c r="B46" s="127"/>
      <c r="C46" s="127"/>
      <c r="D46" s="127"/>
      <c r="E46" s="127"/>
      <c r="G46" s="30">
        <f>'Dept Summary'!$K$16*Assumptions!$B$25*0.1</f>
        <v>340163.25</v>
      </c>
    </row>
    <row r="47" spans="1:7" x14ac:dyDescent="0.25">
      <c r="A47" s="127" t="s">
        <v>41</v>
      </c>
      <c r="B47" s="127"/>
      <c r="C47" s="127"/>
      <c r="D47" s="127"/>
      <c r="E47" s="127"/>
      <c r="G47" s="30">
        <f>'Dept Summary'!$K$16*0.01*Assumptions!$B$26</f>
        <v>226775.5</v>
      </c>
    </row>
    <row r="48" spans="1:7" x14ac:dyDescent="0.25">
      <c r="A48" s="127" t="s">
        <v>42</v>
      </c>
      <c r="B48" s="127"/>
      <c r="C48" s="127"/>
      <c r="D48" s="127"/>
      <c r="E48" s="127"/>
      <c r="G48" s="30">
        <f>'Dept Summary'!$L$16*Assumptions!$B$30*0.01</f>
        <v>589529.66700000002</v>
      </c>
    </row>
    <row r="49" spans="1:12" ht="18" customHeight="1" x14ac:dyDescent="0.25">
      <c r="A49" s="128" t="str">
        <f>"What this says: today we are "&amp;TEXT(ABS(F31)/1000,"$#,##0")&amp;"K "&amp;IF(F31&gt;=0,"under","over")&amp;" the FY26 budget run-rate. After growth, acquisitions, the raise, and normal vacancy, "&amp;IF(G37&gt;=0,"FY27 has "&amp;TEXT(G37/1000,"$#,##0")&amp;"K of room before this week's requests","FY27 is already "&amp;TEXT(-G37/1000,"$#,##0")&amp;"K short before this week's requests")&amp;" ("&amp;TEXT(G44/1000,"$#,##0\K;-$#,##0\K")&amp;" without the vacancy cushion). "&amp;"The "&amp;E41&amp;" Challenge requests would use "&amp;TEXT(-F41/1000,"$#,##0")&amp;"K"&amp;IF(G37&gt;0,IF(-F41&gt;G37,", more than all of that room",", or "&amp;TEXT(-F41/G37,"0%")&amp;" of that room"),"")&amp;". "&amp;"If everything is approved, "&amp;IF(G42&gt;=0,TEXT(G42/1000,"$#,##0")&amp;"K is left for FY27 budget asks.","FY27 would start "&amp;TEXT(-G42/1000,"$#,##0")&amp;"K over budget.")</f>
        <v>What this says: today we are $542K over the FY26 budget run-rate. After growth, acquisitions, the raise, and normal vacancy, FY27 has $711K of room before this week's requests (-$468K without the vacancy cushion). The 2 Challenge requests would use $247K, or 35% of that room. If everything is approved, $159K is left for FY27 budget asks.</v>
      </c>
      <c r="B49" s="128"/>
      <c r="C49" s="128"/>
      <c r="D49" s="128"/>
      <c r="E49" s="128"/>
      <c r="F49" s="128"/>
      <c r="G49" s="128"/>
      <c r="H49" s="128"/>
      <c r="I49" s="128"/>
      <c r="J49" s="128"/>
    </row>
    <row r="50" spans="1:12" ht="18" customHeight="1" x14ac:dyDescent="0.25">
      <c r="A50" s="128"/>
      <c r="B50" s="128"/>
      <c r="C50" s="128"/>
      <c r="D50" s="128"/>
      <c r="E50" s="128"/>
      <c r="F50" s="128"/>
      <c r="G50" s="128"/>
      <c r="H50" s="128"/>
      <c r="I50" s="128"/>
      <c r="J50" s="128"/>
    </row>
    <row r="52" spans="1:12" ht="19.5" customHeight="1" x14ac:dyDescent="0.25">
      <c r="A52" s="8" t="s">
        <v>43</v>
      </c>
      <c r="B52" s="9"/>
      <c r="C52" s="9"/>
      <c r="D52" s="9"/>
      <c r="E52" s="9"/>
      <c r="F52" s="9"/>
      <c r="G52" s="9"/>
      <c r="H52" s="9"/>
      <c r="I52" s="9"/>
      <c r="J52" s="9"/>
    </row>
    <row r="53" spans="1:12" x14ac:dyDescent="0.25">
      <c r="A53" s="19" t="s">
        <v>44</v>
      </c>
    </row>
    <row r="54" spans="1:12" ht="30" customHeight="1" x14ac:dyDescent="0.25">
      <c r="A54" s="119" t="s">
        <v>45</v>
      </c>
      <c r="B54" s="119"/>
      <c r="C54" s="119"/>
      <c r="D54" s="119"/>
      <c r="E54" s="119"/>
      <c r="F54" s="2" t="s">
        <v>46</v>
      </c>
      <c r="G54" s="2" t="s">
        <v>47</v>
      </c>
      <c r="H54" s="119" t="s">
        <v>48</v>
      </c>
      <c r="I54" s="119"/>
      <c r="J54" s="119"/>
      <c r="K54" s="31" t="s">
        <v>49</v>
      </c>
      <c r="L54" s="18">
        <f>F59</f>
        <v>526342.50000000105</v>
      </c>
    </row>
    <row r="55" spans="1:12" x14ac:dyDescent="0.25">
      <c r="A55" s="129" t="s">
        <v>50</v>
      </c>
      <c r="B55" s="129"/>
      <c r="C55" s="129"/>
      <c r="D55" s="129"/>
      <c r="E55" s="129"/>
      <c r="F55" s="22">
        <f>'Dept Summary'!$Q$16-SUMIFS(Seats!$S$5:$S$1000,Seats!$W$5:$W$1000,"Open: on hold")</f>
        <v>683397.91666666663</v>
      </c>
      <c r="G55" s="23">
        <f>0</f>
        <v>0</v>
      </c>
      <c r="H55" s="127" t="s">
        <v>51</v>
      </c>
      <c r="I55" s="127"/>
      <c r="J55" s="127"/>
      <c r="K55" s="31" t="s">
        <v>52</v>
      </c>
      <c r="L55" s="18">
        <f>G55-F55</f>
        <v>-683397.91666666663</v>
      </c>
    </row>
    <row r="56" spans="1:12" x14ac:dyDescent="0.25">
      <c r="A56" s="129" t="s">
        <v>53</v>
      </c>
      <c r="B56" s="129"/>
      <c r="C56" s="129"/>
      <c r="D56" s="129"/>
      <c r="E56" s="129"/>
      <c r="F56" s="22">
        <f>SUMIFS(Seats!$S$5:$S$1000,Seats!$W$5:$W$1000,"Open: on hold")</f>
        <v>125843.75</v>
      </c>
      <c r="G56" s="22">
        <f>SUMIFS(Seats!$K$5:$K$1000,Seats!$W$5:$W$1000,"Open: on hold")</f>
        <v>403925</v>
      </c>
      <c r="H56" s="127" t="s">
        <v>54</v>
      </c>
      <c r="I56" s="127"/>
      <c r="J56" s="127"/>
      <c r="K56" s="31" t="s">
        <v>55</v>
      </c>
      <c r="L56" s="18">
        <f>G56-F56</f>
        <v>278081.25</v>
      </c>
    </row>
    <row r="57" spans="1:12" x14ac:dyDescent="0.25">
      <c r="A57" s="129" t="s">
        <v>56</v>
      </c>
      <c r="B57" s="129"/>
      <c r="C57" s="129"/>
      <c r="D57" s="129"/>
      <c r="E57" s="129"/>
      <c r="F57" s="22">
        <f>'Dept Summary'!$R$16-SUM(Seats!$U$5:$U$1000)</f>
        <v>-50353.333333332179</v>
      </c>
      <c r="G57" s="22">
        <f>SUMIFS(Seats!$K$5:$K$1000,Seats!$W$5:$W$1000,"Filled")-SUMIFS(Seats!$Q$5:$Q$1000,Seats!$W$5:$W$1000,"Filled")</f>
        <v>-127365</v>
      </c>
      <c r="H57" s="127" t="s">
        <v>57</v>
      </c>
      <c r="I57" s="127"/>
      <c r="J57" s="127"/>
      <c r="K57" s="31" t="s">
        <v>58</v>
      </c>
      <c r="L57" s="18">
        <f>G57-F57</f>
        <v>-77011.666666667821</v>
      </c>
    </row>
    <row r="58" spans="1:12" x14ac:dyDescent="0.25">
      <c r="A58" s="129" t="s">
        <v>59</v>
      </c>
      <c r="B58" s="129"/>
      <c r="C58" s="129"/>
      <c r="D58" s="129"/>
      <c r="E58" s="129"/>
      <c r="F58" s="22">
        <f>SUM(Seats!$U$5:$U$1000)</f>
        <v>-232545.83333333334</v>
      </c>
      <c r="G58" s="22">
        <f>-SUMIFS(Seats!$Q$5:$Q$1000,Seats!$W$5:$W$1000,"Unbudgeted hire")</f>
        <v>-818575</v>
      </c>
      <c r="H58" s="127" t="s">
        <v>60</v>
      </c>
      <c r="I58" s="127"/>
      <c r="J58" s="127"/>
      <c r="K58" s="31" t="s">
        <v>61</v>
      </c>
      <c r="L58" s="18">
        <f>G58-F58</f>
        <v>-586029.16666666663</v>
      </c>
    </row>
    <row r="59" spans="1:12" x14ac:dyDescent="0.25">
      <c r="A59" s="122" t="s">
        <v>62</v>
      </c>
      <c r="B59" s="122"/>
      <c r="C59" s="122"/>
      <c r="D59" s="122"/>
      <c r="E59" s="122"/>
      <c r="F59" s="26">
        <f>SUM(F55:F58)</f>
        <v>526342.50000000105</v>
      </c>
      <c r="G59" s="26">
        <f>SUM(G55:G58)</f>
        <v>-542015</v>
      </c>
      <c r="H59" s="130" t="str">
        <f>IF(AND(ROUND(F59-'Dept Summary'!$P$16,0)=0,ROUND(G59-'Dept Summary'!$M$16,0)=0),"Ties to Dept Summary","Check Dept Summary")</f>
        <v>Ties to Dept Summary</v>
      </c>
      <c r="I59" s="130"/>
      <c r="J59" s="130"/>
      <c r="K59" s="31" t="s">
        <v>63</v>
      </c>
      <c r="L59" s="18">
        <f>G59</f>
        <v>-542015</v>
      </c>
    </row>
    <row r="60" spans="1:12" ht="18" customHeight="1" x14ac:dyDescent="0.25">
      <c r="A60" s="128" t="str">
        <f>"What this says: YTD we are "&amp;TEXT(ABS(F59)/1000,"$#,##0")&amp;"K "&amp;IF(F59&gt;=0,"under","over")&amp;" budget, and "&amp;TEXT(F55/1000,"$#,##0")&amp;"K of savings comes from open seats that will fill. For a full year those savings go away and unbudgeted hires count for 12 months, so today's payroll plus open seats is "&amp;TEXT(ABS(G59)/1000,"$#,##0")&amp;"K "&amp;IF(G59&gt;=0,"under","over")&amp;" the FY26 budget run-rate."</f>
        <v>What this says: YTD we are $526K under budget, and $683K of savings comes from open seats that will fill. For a full year those savings go away and unbudgeted hires count for 12 months, so today's payroll plus open seats is $542K over the FY26 budget run-rate.</v>
      </c>
      <c r="B60" s="128"/>
      <c r="C60" s="128"/>
      <c r="D60" s="128"/>
      <c r="E60" s="128"/>
      <c r="F60" s="128"/>
      <c r="G60" s="128"/>
      <c r="H60" s="128"/>
      <c r="I60" s="128"/>
      <c r="J60" s="128"/>
    </row>
    <row r="61" spans="1:12" ht="18" customHeight="1" x14ac:dyDescent="0.25">
      <c r="A61" s="128"/>
      <c r="B61" s="128"/>
      <c r="C61" s="128"/>
      <c r="D61" s="128"/>
      <c r="E61" s="128"/>
      <c r="F61" s="128"/>
      <c r="G61" s="128"/>
      <c r="H61" s="128"/>
      <c r="I61" s="128"/>
      <c r="J61" s="128"/>
    </row>
    <row r="63" spans="1:12" ht="19.5" customHeight="1" x14ac:dyDescent="0.25">
      <c r="A63" s="8" t="s">
        <v>64</v>
      </c>
      <c r="B63" s="9"/>
      <c r="C63" s="9"/>
      <c r="D63" s="9"/>
      <c r="E63" s="9"/>
      <c r="F63" s="9"/>
      <c r="G63" s="9"/>
      <c r="H63" s="9"/>
      <c r="I63" s="9"/>
      <c r="J63" s="9"/>
    </row>
    <row r="64" spans="1:12" x14ac:dyDescent="0.25">
      <c r="A64" s="19" t="s">
        <v>65</v>
      </c>
    </row>
    <row r="65" spans="1:10" ht="42" customHeight="1" x14ac:dyDescent="0.25">
      <c r="A65" s="119" t="s">
        <v>11</v>
      </c>
      <c r="B65" s="119"/>
      <c r="C65" s="119"/>
      <c r="D65" s="2" t="s">
        <v>66</v>
      </c>
      <c r="E65" s="2" t="s">
        <v>67</v>
      </c>
      <c r="F65" s="2" t="s">
        <v>68</v>
      </c>
      <c r="G65" s="2" t="s">
        <v>69</v>
      </c>
      <c r="H65" s="2" t="s">
        <v>70</v>
      </c>
      <c r="I65" s="2" t="s">
        <v>71</v>
      </c>
      <c r="J65" s="2" t="s">
        <v>72</v>
      </c>
    </row>
    <row r="66" spans="1:10" x14ac:dyDescent="0.25">
      <c r="A66" s="131" t="str">
        <f>'Dept Summary'!A5</f>
        <v>Accounting &amp; Billing</v>
      </c>
      <c r="B66" s="131"/>
      <c r="C66" s="131"/>
      <c r="D66" s="32">
        <f>'Dept Summary'!F5</f>
        <v>112</v>
      </c>
      <c r="E66" s="32">
        <f>'Dept Summary'!J5</f>
        <v>2</v>
      </c>
      <c r="F66" s="32">
        <f>'Dept Summary'!C5</f>
        <v>3</v>
      </c>
      <c r="G66" s="32">
        <f>'Dept Summary'!E5</f>
        <v>2</v>
      </c>
      <c r="H66" s="33">
        <f>'Dept Summary'!M5</f>
        <v>-185530</v>
      </c>
      <c r="I66" s="33">
        <f>'Dept Summary'!S5</f>
        <v>0</v>
      </c>
      <c r="J66" s="34" t="str">
        <f>'Dept Summary'!U5</f>
        <v>Over budget</v>
      </c>
    </row>
    <row r="67" spans="1:10" x14ac:dyDescent="0.25">
      <c r="A67" s="131" t="str">
        <f>'Dept Summary'!A6</f>
        <v>Finance &amp; Treasury</v>
      </c>
      <c r="B67" s="131"/>
      <c r="C67" s="131"/>
      <c r="D67" s="32">
        <f>'Dept Summary'!F6</f>
        <v>21</v>
      </c>
      <c r="E67" s="32">
        <f>'Dept Summary'!J6</f>
        <v>1</v>
      </c>
      <c r="F67" s="32">
        <f>'Dept Summary'!C6</f>
        <v>1</v>
      </c>
      <c r="G67" s="32">
        <f>'Dept Summary'!E6</f>
        <v>0</v>
      </c>
      <c r="H67" s="33">
        <f>'Dept Summary'!M6</f>
        <v>-9725</v>
      </c>
      <c r="I67" s="33">
        <f>'Dept Summary'!S6</f>
        <v>0</v>
      </c>
      <c r="J67" s="34" t="str">
        <f>'Dept Summary'!U6</f>
        <v>Slightly over (within cushion)</v>
      </c>
    </row>
    <row r="68" spans="1:10" x14ac:dyDescent="0.25">
      <c r="A68" s="131" t="str">
        <f>'Dept Summary'!A7</f>
        <v>IT &amp; Business Intelligence</v>
      </c>
      <c r="B68" s="131"/>
      <c r="C68" s="131"/>
      <c r="D68" s="32">
        <f>'Dept Summary'!F7</f>
        <v>67</v>
      </c>
      <c r="E68" s="32">
        <f>'Dept Summary'!J7</f>
        <v>2</v>
      </c>
      <c r="F68" s="32">
        <f>'Dept Summary'!C7</f>
        <v>2</v>
      </c>
      <c r="G68" s="32">
        <f>'Dept Summary'!E7</f>
        <v>2</v>
      </c>
      <c r="H68" s="33">
        <f>'Dept Summary'!M7</f>
        <v>-10745</v>
      </c>
      <c r="I68" s="33">
        <f>'Dept Summary'!S7</f>
        <v>0</v>
      </c>
      <c r="J68" s="34" t="str">
        <f>'Dept Summary'!U7</f>
        <v>Slightly over (within cushion)</v>
      </c>
    </row>
    <row r="69" spans="1:10" x14ac:dyDescent="0.25">
      <c r="A69" s="131" t="str">
        <f>'Dept Summary'!A8</f>
        <v>Human Resources</v>
      </c>
      <c r="B69" s="131"/>
      <c r="C69" s="131"/>
      <c r="D69" s="32">
        <f>'Dept Summary'!F8</f>
        <v>35</v>
      </c>
      <c r="E69" s="32">
        <f>'Dept Summary'!J8</f>
        <v>0</v>
      </c>
      <c r="F69" s="32">
        <f>'Dept Summary'!C8</f>
        <v>1</v>
      </c>
      <c r="G69" s="32">
        <f>'Dept Summary'!E8</f>
        <v>0</v>
      </c>
      <c r="H69" s="33">
        <f>'Dept Summary'!M8</f>
        <v>2845</v>
      </c>
      <c r="I69" s="33">
        <f>'Dept Summary'!S8</f>
        <v>0</v>
      </c>
      <c r="J69" s="34" t="str">
        <f>'Dept Summary'!U8</f>
        <v>Within budget</v>
      </c>
    </row>
    <row r="70" spans="1:10" x14ac:dyDescent="0.25">
      <c r="A70" s="131" t="str">
        <f>'Dept Summary'!A9</f>
        <v>Marketing</v>
      </c>
      <c r="B70" s="131"/>
      <c r="C70" s="131"/>
      <c r="D70" s="32">
        <f>'Dept Summary'!F9</f>
        <v>31</v>
      </c>
      <c r="E70" s="32">
        <f>'Dept Summary'!J9</f>
        <v>1</v>
      </c>
      <c r="F70" s="32">
        <f>'Dept Summary'!C9</f>
        <v>1</v>
      </c>
      <c r="G70" s="32">
        <f>'Dept Summary'!E9</f>
        <v>0</v>
      </c>
      <c r="H70" s="33">
        <f>'Dept Summary'!M9</f>
        <v>2420</v>
      </c>
      <c r="I70" s="33">
        <f>'Dept Summary'!S9</f>
        <v>0</v>
      </c>
      <c r="J70" s="34" t="str">
        <f>'Dept Summary'!U9</f>
        <v>Within budget</v>
      </c>
    </row>
    <row r="71" spans="1:10" x14ac:dyDescent="0.25">
      <c r="A71" s="131" t="str">
        <f>'Dept Summary'!A10</f>
        <v>Sales Support</v>
      </c>
      <c r="B71" s="131"/>
      <c r="C71" s="131"/>
      <c r="D71" s="32">
        <f>'Dept Summary'!F10</f>
        <v>58</v>
      </c>
      <c r="E71" s="32">
        <f>'Dept Summary'!J10</f>
        <v>3</v>
      </c>
      <c r="F71" s="32">
        <f>'Dept Summary'!C10</f>
        <v>1</v>
      </c>
      <c r="G71" s="32">
        <f>'Dept Summary'!E10</f>
        <v>3</v>
      </c>
      <c r="H71" s="33">
        <f>'Dept Summary'!M10</f>
        <v>-310290</v>
      </c>
      <c r="I71" s="33">
        <f>'Dept Summary'!S10</f>
        <v>0</v>
      </c>
      <c r="J71" s="34" t="str">
        <f>'Dept Summary'!U10</f>
        <v>Over budget</v>
      </c>
    </row>
    <row r="72" spans="1:10" x14ac:dyDescent="0.25">
      <c r="A72" s="131" t="str">
        <f>'Dept Summary'!A11</f>
        <v>Operations Support</v>
      </c>
      <c r="B72" s="131"/>
      <c r="C72" s="131"/>
      <c r="D72" s="32">
        <f>'Dept Summary'!F11</f>
        <v>71</v>
      </c>
      <c r="E72" s="32">
        <f>'Dept Summary'!J11</f>
        <v>1</v>
      </c>
      <c r="F72" s="32">
        <f>'Dept Summary'!C11</f>
        <v>2</v>
      </c>
      <c r="G72" s="32">
        <f>'Dept Summary'!E11</f>
        <v>1</v>
      </c>
      <c r="H72" s="33">
        <f>'Dept Summary'!M11</f>
        <v>-12420</v>
      </c>
      <c r="I72" s="33">
        <f>'Dept Summary'!S11</f>
        <v>0</v>
      </c>
      <c r="J72" s="34" t="str">
        <f>'Dept Summary'!U11</f>
        <v>Slightly over (within cushion)</v>
      </c>
    </row>
    <row r="73" spans="1:10" x14ac:dyDescent="0.25">
      <c r="A73" s="131" t="str">
        <f>'Dept Summary'!A12</f>
        <v>Clinical Services</v>
      </c>
      <c r="B73" s="131"/>
      <c r="C73" s="131"/>
      <c r="D73" s="32">
        <f>'Dept Summary'!F12</f>
        <v>35</v>
      </c>
      <c r="E73" s="32">
        <f>'Dept Summary'!J12</f>
        <v>0</v>
      </c>
      <c r="F73" s="32">
        <f>'Dept Summary'!C12</f>
        <v>1</v>
      </c>
      <c r="G73" s="32">
        <f>'Dept Summary'!E12</f>
        <v>0</v>
      </c>
      <c r="H73" s="33">
        <f>'Dept Summary'!M12</f>
        <v>-9965</v>
      </c>
      <c r="I73" s="33">
        <f>'Dept Summary'!S12</f>
        <v>184576</v>
      </c>
      <c r="J73" s="34" t="str">
        <f>'Dept Summary'!U12</f>
        <v>Slightly over (within cushion)</v>
      </c>
    </row>
    <row r="74" spans="1:10" x14ac:dyDescent="0.25">
      <c r="A74" s="131" t="str">
        <f>'Dept Summary'!A13</f>
        <v>Legal &amp; Compliance</v>
      </c>
      <c r="B74" s="131"/>
      <c r="C74" s="131"/>
      <c r="D74" s="32">
        <f>'Dept Summary'!F13</f>
        <v>17</v>
      </c>
      <c r="E74" s="32">
        <f>'Dept Summary'!J13</f>
        <v>-1</v>
      </c>
      <c r="F74" s="32">
        <f>'Dept Summary'!C13</f>
        <v>1</v>
      </c>
      <c r="G74" s="32">
        <f>'Dept Summary'!E13</f>
        <v>0</v>
      </c>
      <c r="H74" s="33">
        <f>'Dept Summary'!M13</f>
        <v>-6820</v>
      </c>
      <c r="I74" s="33">
        <f>'Dept Summary'!S13</f>
        <v>0</v>
      </c>
      <c r="J74" s="34" t="str">
        <f>'Dept Summary'!U13</f>
        <v>Slightly over (within cushion)</v>
      </c>
    </row>
    <row r="75" spans="1:10" x14ac:dyDescent="0.25">
      <c r="A75" s="131" t="str">
        <f>'Dept Summary'!A14</f>
        <v>Business Development</v>
      </c>
      <c r="B75" s="131"/>
      <c r="C75" s="131"/>
      <c r="D75" s="32">
        <f>'Dept Summary'!F14</f>
        <v>28</v>
      </c>
      <c r="E75" s="32">
        <f>'Dept Summary'!J14</f>
        <v>3</v>
      </c>
      <c r="F75" s="32">
        <f>'Dept Summary'!C14</f>
        <v>0</v>
      </c>
      <c r="G75" s="32">
        <f>'Dept Summary'!E14</f>
        <v>1</v>
      </c>
      <c r="H75" s="33">
        <f>'Dept Summary'!M14</f>
        <v>-92160</v>
      </c>
      <c r="I75" s="33">
        <f>'Dept Summary'!S14</f>
        <v>0</v>
      </c>
      <c r="J75" s="34" t="str">
        <f>'Dept Summary'!U14</f>
        <v>Over budget</v>
      </c>
    </row>
    <row r="76" spans="1:10" x14ac:dyDescent="0.25">
      <c r="A76" s="131" t="str">
        <f>'Dept Summary'!A15</f>
        <v>Design &amp; Development</v>
      </c>
      <c r="B76" s="131"/>
      <c r="C76" s="131"/>
      <c r="D76" s="32">
        <f>'Dept Summary'!F15</f>
        <v>30</v>
      </c>
      <c r="E76" s="32">
        <f>'Dept Summary'!J15</f>
        <v>0</v>
      </c>
      <c r="F76" s="32">
        <f>'Dept Summary'!C15</f>
        <v>0</v>
      </c>
      <c r="G76" s="32">
        <f>'Dept Summary'!E15</f>
        <v>0</v>
      </c>
      <c r="H76" s="33">
        <f>'Dept Summary'!M15</f>
        <v>90375</v>
      </c>
      <c r="I76" s="33">
        <f>'Dept Summary'!S15</f>
        <v>0</v>
      </c>
      <c r="J76" s="34" t="str">
        <f>'Dept Summary'!U15</f>
        <v>Within budget</v>
      </c>
    </row>
    <row r="77" spans="1:10" x14ac:dyDescent="0.25">
      <c r="A77" s="132" t="str">
        <f>'Dept Summary'!A16</f>
        <v>Total corporate</v>
      </c>
      <c r="B77" s="132"/>
      <c r="C77" s="132"/>
      <c r="D77" s="35">
        <f>'Dept Summary'!F16</f>
        <v>505</v>
      </c>
      <c r="E77" s="35">
        <f>'Dept Summary'!J16</f>
        <v>12</v>
      </c>
      <c r="F77" s="35">
        <f>'Dept Summary'!C16</f>
        <v>13</v>
      </c>
      <c r="G77" s="35">
        <f>'Dept Summary'!E16</f>
        <v>9</v>
      </c>
      <c r="H77" s="36">
        <f>'Dept Summary'!M16</f>
        <v>-542015</v>
      </c>
      <c r="I77" s="36">
        <f>'Dept Summary'!S16</f>
        <v>184576</v>
      </c>
      <c r="J77" s="37" t="str">
        <f>'Dept Summary'!U16</f>
        <v>Over budget</v>
      </c>
    </row>
  </sheetData>
  <mergeCells count="51">
    <mergeCell ref="A75:C75"/>
    <mergeCell ref="A76:C76"/>
    <mergeCell ref="A77:C77"/>
    <mergeCell ref="A70:C70"/>
    <mergeCell ref="A71:C71"/>
    <mergeCell ref="A72:C72"/>
    <mergeCell ref="A73:C73"/>
    <mergeCell ref="A74:C74"/>
    <mergeCell ref="A65:C65"/>
    <mergeCell ref="A66:C66"/>
    <mergeCell ref="A67:C67"/>
    <mergeCell ref="A68:C68"/>
    <mergeCell ref="A69:C69"/>
    <mergeCell ref="A58:E58"/>
    <mergeCell ref="H58:J58"/>
    <mergeCell ref="A59:E59"/>
    <mergeCell ref="H59:J59"/>
    <mergeCell ref="A60:J61"/>
    <mergeCell ref="A55:E55"/>
    <mergeCell ref="H55:J55"/>
    <mergeCell ref="A56:E56"/>
    <mergeCell ref="H56:J56"/>
    <mergeCell ref="A57:E57"/>
    <mergeCell ref="H57:J57"/>
    <mergeCell ref="A46:E46"/>
    <mergeCell ref="A47:E47"/>
    <mergeCell ref="A48:E48"/>
    <mergeCell ref="A49:J50"/>
    <mergeCell ref="A54:E54"/>
    <mergeCell ref="H54:J54"/>
    <mergeCell ref="A40:D40"/>
    <mergeCell ref="A41:D41"/>
    <mergeCell ref="A42:D42"/>
    <mergeCell ref="A44:E44"/>
    <mergeCell ref="A45:E45"/>
    <mergeCell ref="A35:D35"/>
    <mergeCell ref="A36:D36"/>
    <mergeCell ref="A37:D37"/>
    <mergeCell ref="A38:D38"/>
    <mergeCell ref="A39:D39"/>
    <mergeCell ref="A30:D30"/>
    <mergeCell ref="A31:D31"/>
    <mergeCell ref="A32:D32"/>
    <mergeCell ref="A33:D33"/>
    <mergeCell ref="A34:D34"/>
    <mergeCell ref="A6:B6"/>
    <mergeCell ref="E6:F6"/>
    <mergeCell ref="G6:H6"/>
    <mergeCell ref="A7:B7"/>
    <mergeCell ref="E7:F7"/>
    <mergeCell ref="G7:H7"/>
  </mergeCells>
  <conditionalFormatting sqref="A12:A26">
    <cfRule type="expression" dxfId="7" priority="2">
      <formula>$A12="Fast-track"</formula>
    </cfRule>
    <cfRule type="expression" dxfId="6" priority="3">
      <formula>$A12="Approve"</formula>
    </cfRule>
    <cfRule type="expression" dxfId="5" priority="4">
      <formula>$A12="Review"</formula>
    </cfRule>
    <cfRule type="expression" dxfId="4" priority="5">
      <formula>$A12="Challenge"</formula>
    </cfRule>
  </conditionalFormatting>
  <pageMargins left="0.75" right="0.75" top="1" bottom="1" header="0.511811023622047" footer="0.511811023622047"/>
  <pageSetup fitToHeight="0" orientation="landscape" horizontalDpi="300" verticalDpi="300"/>
  <rowBreaks count="1" manualBreakCount="1">
    <brk id="27" max="16383" man="1"/>
  </rowBreaks>
  <drawing r:id="rId1"/>
  <extLst>
    <ext xmlns:x14="http://schemas.microsoft.com/office/spreadsheetml/2009/9/main" uri="{78C0D931-6437-407d-A8EE-F0AAD7539E65}">
      <x14:conditionalFormattings>
        <x14:conditionalFormatting xmlns:xm="http://schemas.microsoft.com/office/excel/2006/main">
          <x14:cfRule type="iconSet" priority="506" id="{2D504502-19D7-454C-A3CA-BA89A3EDC00B}">
            <x14:iconSet iconSet="3Triangles" custom="1">
              <x14:cfvo type="percent">
                <xm:f>0</xm:f>
              </x14:cfvo>
              <x14:cfvo type="num">
                <xm:f>0</xm:f>
              </x14:cfvo>
              <x14:cfvo type="num" gte="0">
                <xm:f>0</xm:f>
              </x14:cfvo>
              <x14:cfIcon iconSet="3Triangles" iconId="0"/>
              <x14:cfIcon iconSet="NoIcons" iconId="0"/>
              <x14:cfIcon iconSet="3Triangles" iconId="2"/>
            </x14:iconSet>
          </x14:cfRule>
          <xm:sqref>F55:G59</xm:sqref>
        </x14:conditionalFormatting>
        <x14:conditionalFormatting xmlns:xm="http://schemas.microsoft.com/office/excel/2006/main">
          <x14:cfRule type="iconSet" priority="504" id="{B89522D6-01DE-4976-B0BD-04F80315E238}">
            <x14:iconSet iconSet="3Triangles" custom="1">
              <x14:cfvo type="percent">
                <xm:f>0</xm:f>
              </x14:cfvo>
              <x14:cfvo type="num">
                <xm:f>0</xm:f>
              </x14:cfvo>
              <x14:cfvo type="num" gte="0">
                <xm:f>0</xm:f>
              </x14:cfvo>
              <x14:cfIcon iconSet="3Triangles" iconId="0"/>
              <x14:cfIcon iconSet="NoIcons" iconId="0"/>
              <x14:cfIcon iconSet="3Triangles" iconId="2"/>
            </x14:iconSet>
          </x14:cfRule>
          <xm:sqref>G31:G42</xm:sqref>
        </x14:conditionalFormatting>
        <x14:conditionalFormatting xmlns:xm="http://schemas.microsoft.com/office/excel/2006/main">
          <x14:cfRule type="iconSet" priority="505" id="{C0953C2C-D746-4306-ADF7-E672234227DC}">
            <x14:iconSet iconSet="3Triangles" custom="1">
              <x14:cfvo type="percent">
                <xm:f>0</xm:f>
              </x14:cfvo>
              <x14:cfvo type="num">
                <xm:f>0</xm:f>
              </x14:cfvo>
              <x14:cfvo type="num" gte="0">
                <xm:f>0</xm:f>
              </x14:cfvo>
              <x14:cfIcon iconSet="3Triangles" iconId="0"/>
              <x14:cfIcon iconSet="NoIcons" iconId="0"/>
              <x14:cfIcon iconSet="3Triangles" iconId="2"/>
            </x14:iconSet>
          </x14:cfRule>
          <xm:sqref>G44:G45</xm:sqref>
        </x14:conditionalFormatting>
        <x14:conditionalFormatting xmlns:xm="http://schemas.microsoft.com/office/excel/2006/main">
          <x14:cfRule type="iconSet" priority="507" id="{CDFE9D54-F3F7-4F45-AFD0-D11BBBE701A6}">
            <x14:iconSet iconSet="3Triangles" custom="1">
              <x14:cfvo type="percent">
                <xm:f>0</xm:f>
              </x14:cfvo>
              <x14:cfvo type="num">
                <xm:f>0</xm:f>
              </x14:cfvo>
              <x14:cfvo type="num" gte="0">
                <xm:f>0</xm:f>
              </x14:cfvo>
              <x14:cfIcon iconSet="3Triangles" iconId="0"/>
              <x14:cfIcon iconSet="NoIcons" iconId="0"/>
              <x14:cfIcon iconSet="3Triangles" iconId="2"/>
            </x14:iconSet>
          </x14:cfRule>
          <xm:sqref>H66:H77</xm:sqref>
        </x14:conditionalFormatting>
        <x14:conditionalFormatting xmlns:xm="http://schemas.microsoft.com/office/excel/2006/main">
          <x14:cfRule type="iconSet" priority="503" id="{4BD6B6CB-77F0-4C36-9161-7276517BF3E8}">
            <x14:iconSet iconSet="3Triangles" custom="1">
              <x14:cfvo type="percent">
                <xm:f>0</xm:f>
              </x14:cfvo>
              <x14:cfvo type="num">
                <xm:f>0</xm:f>
              </x14:cfvo>
              <x14:cfvo type="num" gte="0">
                <xm:f>0</xm:f>
              </x14:cfvo>
              <x14:cfIcon iconSet="3Triangles" iconId="0"/>
              <x14:cfIcon iconSet="NoIcons" iconId="0"/>
              <x14:cfIcon iconSet="3Triangles" iconId="2"/>
            </x14:iconSet>
          </x14:cfRule>
          <xm:sqref>I12:I26</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808080"/>
    <pageSetUpPr fitToPage="1"/>
  </sheetPr>
  <dimension ref="A1:D79"/>
  <sheetViews>
    <sheetView showGridLines="0" topLeftCell="A54" zoomScale="90" zoomScaleNormal="90" workbookViewId="0">
      <selection activeCell="B68" sqref="B68"/>
    </sheetView>
  </sheetViews>
  <sheetFormatPr defaultColWidth="8.7109375" defaultRowHeight="15" x14ac:dyDescent="0.25"/>
  <cols>
    <col min="1" max="1" width="30" customWidth="1"/>
    <col min="2" max="2" width="78" customWidth="1"/>
    <col min="3" max="3" width="22" customWidth="1"/>
    <col min="4" max="4" width="18" customWidth="1"/>
  </cols>
  <sheetData>
    <row r="1" spans="1:4" ht="20.25" customHeight="1" x14ac:dyDescent="0.3">
      <c r="A1" s="6" t="s">
        <v>73</v>
      </c>
    </row>
    <row r="2" spans="1:4" x14ac:dyDescent="0.25">
      <c r="A2" s="38" t="s">
        <v>74</v>
      </c>
    </row>
    <row r="4" spans="1:4" ht="19.5" customHeight="1" x14ac:dyDescent="0.25">
      <c r="A4" s="8" t="s">
        <v>75</v>
      </c>
      <c r="B4" s="9"/>
      <c r="C4" s="9"/>
      <c r="D4" s="9"/>
    </row>
    <row r="5" spans="1:4" ht="28.5" customHeight="1" x14ac:dyDescent="0.25">
      <c r="A5" s="39" t="s">
        <v>76</v>
      </c>
      <c r="B5" s="40" t="s">
        <v>77</v>
      </c>
    </row>
    <row r="6" spans="1:4" ht="28.5" customHeight="1" x14ac:dyDescent="0.25">
      <c r="A6" s="39" t="s">
        <v>78</v>
      </c>
      <c r="B6" s="40" t="s">
        <v>79</v>
      </c>
    </row>
    <row r="7" spans="1:4" ht="28.5" customHeight="1" x14ac:dyDescent="0.25">
      <c r="A7" s="39" t="s">
        <v>80</v>
      </c>
      <c r="B7" s="40" t="s">
        <v>81</v>
      </c>
    </row>
    <row r="8" spans="1:4" ht="28.5" customHeight="1" x14ac:dyDescent="0.25">
      <c r="A8" s="39" t="s">
        <v>82</v>
      </c>
      <c r="B8" s="40" t="s">
        <v>83</v>
      </c>
    </row>
    <row r="9" spans="1:4" ht="28.5" customHeight="1" x14ac:dyDescent="0.25">
      <c r="A9" s="39" t="s">
        <v>84</v>
      </c>
      <c r="B9" s="40" t="s">
        <v>85</v>
      </c>
    </row>
    <row r="11" spans="1:4" ht="19.5" customHeight="1" x14ac:dyDescent="0.25">
      <c r="A11" s="8" t="s">
        <v>86</v>
      </c>
      <c r="B11" s="9"/>
      <c r="C11" s="9"/>
      <c r="D11" s="9"/>
    </row>
    <row r="12" spans="1:4" ht="28.5" customHeight="1" x14ac:dyDescent="0.25">
      <c r="A12" s="39" t="s">
        <v>87</v>
      </c>
      <c r="B12" s="40" t="s">
        <v>88</v>
      </c>
    </row>
    <row r="13" spans="1:4" ht="28.5" customHeight="1" x14ac:dyDescent="0.25">
      <c r="A13" s="41" t="s">
        <v>89</v>
      </c>
      <c r="B13" s="40" t="s">
        <v>90</v>
      </c>
    </row>
    <row r="14" spans="1:4" x14ac:dyDescent="0.25">
      <c r="A14" s="42" t="s">
        <v>91</v>
      </c>
      <c r="B14" s="40" t="s">
        <v>92</v>
      </c>
    </row>
    <row r="15" spans="1:4" x14ac:dyDescent="0.25">
      <c r="A15" s="43" t="s">
        <v>93</v>
      </c>
      <c r="B15" s="40" t="s">
        <v>94</v>
      </c>
    </row>
    <row r="16" spans="1:4" ht="28.5" customHeight="1" x14ac:dyDescent="0.25">
      <c r="A16" s="44" t="s">
        <v>95</v>
      </c>
      <c r="B16" s="40" t="s">
        <v>96</v>
      </c>
    </row>
    <row r="18" spans="1:4" ht="19.5" customHeight="1" x14ac:dyDescent="0.25">
      <c r="A18" s="8" t="s">
        <v>97</v>
      </c>
      <c r="B18" s="9"/>
      <c r="C18" s="9"/>
      <c r="D18" s="9"/>
    </row>
    <row r="19" spans="1:4" ht="19.5" customHeight="1" x14ac:dyDescent="0.25">
      <c r="A19" s="2" t="s">
        <v>98</v>
      </c>
      <c r="B19" s="2" t="s">
        <v>99</v>
      </c>
      <c r="C19" s="2" t="s">
        <v>100</v>
      </c>
      <c r="D19" s="2" t="s">
        <v>101</v>
      </c>
    </row>
    <row r="20" spans="1:4" ht="42" customHeight="1" x14ac:dyDescent="0.25">
      <c r="A20" s="39" t="s">
        <v>102</v>
      </c>
      <c r="B20" s="40" t="s">
        <v>103</v>
      </c>
      <c r="C20" s="40" t="s">
        <v>104</v>
      </c>
      <c r="D20" s="40" t="s">
        <v>105</v>
      </c>
    </row>
    <row r="21" spans="1:4" ht="42" customHeight="1" x14ac:dyDescent="0.25">
      <c r="A21" s="39" t="s">
        <v>106</v>
      </c>
      <c r="B21" s="40" t="s">
        <v>107</v>
      </c>
      <c r="C21" s="40" t="s">
        <v>108</v>
      </c>
      <c r="D21" s="40" t="s">
        <v>109</v>
      </c>
    </row>
    <row r="22" spans="1:4" ht="54.75" customHeight="1" x14ac:dyDescent="0.25">
      <c r="A22" s="39" t="s">
        <v>110</v>
      </c>
      <c r="B22" s="40" t="s">
        <v>111</v>
      </c>
      <c r="C22" s="40" t="s">
        <v>108</v>
      </c>
      <c r="D22" s="40" t="s">
        <v>112</v>
      </c>
    </row>
    <row r="23" spans="1:4" ht="42" customHeight="1" x14ac:dyDescent="0.25">
      <c r="A23" s="39" t="s">
        <v>113</v>
      </c>
      <c r="B23" s="40" t="s">
        <v>114</v>
      </c>
      <c r="C23" s="40"/>
      <c r="D23" s="40"/>
    </row>
    <row r="24" spans="1:4" ht="28.5" customHeight="1" x14ac:dyDescent="0.25">
      <c r="A24" s="39" t="s">
        <v>115</v>
      </c>
      <c r="B24" s="40" t="s">
        <v>116</v>
      </c>
      <c r="C24" s="40"/>
      <c r="D24" s="40"/>
    </row>
    <row r="25" spans="1:4" ht="54.75" customHeight="1" x14ac:dyDescent="0.25">
      <c r="A25" s="39" t="s">
        <v>117</v>
      </c>
      <c r="B25" s="40" t="s">
        <v>118</v>
      </c>
      <c r="C25" s="40"/>
      <c r="D25" s="40"/>
    </row>
    <row r="27" spans="1:4" ht="19.5" customHeight="1" x14ac:dyDescent="0.25">
      <c r="A27" s="8" t="s">
        <v>119</v>
      </c>
      <c r="B27" s="9"/>
      <c r="C27" s="9"/>
      <c r="D27" s="9"/>
    </row>
    <row r="28" spans="1:4" ht="42" customHeight="1" x14ac:dyDescent="0.25">
      <c r="A28" s="39" t="s">
        <v>120</v>
      </c>
      <c r="B28" s="40" t="s">
        <v>121</v>
      </c>
    </row>
    <row r="29" spans="1:4" ht="28.5" customHeight="1" x14ac:dyDescent="0.25">
      <c r="A29" s="39" t="s">
        <v>122</v>
      </c>
      <c r="B29" s="40" t="s">
        <v>123</v>
      </c>
    </row>
    <row r="30" spans="1:4" ht="28.5" customHeight="1" x14ac:dyDescent="0.25">
      <c r="A30" s="39" t="s">
        <v>124</v>
      </c>
      <c r="B30" s="40" t="s">
        <v>125</v>
      </c>
    </row>
    <row r="31" spans="1:4" ht="42" customHeight="1" x14ac:dyDescent="0.25">
      <c r="A31" s="39" t="s">
        <v>126</v>
      </c>
      <c r="B31" s="40" t="s">
        <v>127</v>
      </c>
    </row>
    <row r="32" spans="1:4" ht="28.5" customHeight="1" x14ac:dyDescent="0.25">
      <c r="A32" s="39" t="s">
        <v>128</v>
      </c>
      <c r="B32" s="40" t="s">
        <v>129</v>
      </c>
    </row>
    <row r="33" spans="1:4" ht="42" customHeight="1" x14ac:dyDescent="0.25">
      <c r="A33" s="39" t="s">
        <v>130</v>
      </c>
      <c r="B33" s="40" t="s">
        <v>131</v>
      </c>
    </row>
    <row r="34" spans="1:4" ht="28.5" customHeight="1" x14ac:dyDescent="0.25">
      <c r="A34" s="39" t="s">
        <v>132</v>
      </c>
      <c r="B34" s="40" t="s">
        <v>133</v>
      </c>
    </row>
    <row r="35" spans="1:4" ht="42" customHeight="1" x14ac:dyDescent="0.25">
      <c r="A35" s="39" t="s">
        <v>134</v>
      </c>
      <c r="B35" s="40" t="s">
        <v>135</v>
      </c>
    </row>
    <row r="36" spans="1:4" ht="28.5" customHeight="1" x14ac:dyDescent="0.25">
      <c r="A36" s="39" t="s">
        <v>136</v>
      </c>
      <c r="B36" s="40" t="s">
        <v>137</v>
      </c>
    </row>
    <row r="37" spans="1:4" ht="28.5" customHeight="1" x14ac:dyDescent="0.25">
      <c r="A37" s="39" t="s">
        <v>138</v>
      </c>
      <c r="B37" s="40" t="s">
        <v>139</v>
      </c>
    </row>
    <row r="38" spans="1:4" ht="28.5" customHeight="1" x14ac:dyDescent="0.25">
      <c r="A38" s="39" t="s">
        <v>140</v>
      </c>
      <c r="B38" s="40" t="s">
        <v>141</v>
      </c>
    </row>
    <row r="39" spans="1:4" ht="28.5" customHeight="1" x14ac:dyDescent="0.25">
      <c r="A39" s="39" t="s">
        <v>72</v>
      </c>
      <c r="B39" s="40" t="s">
        <v>142</v>
      </c>
    </row>
    <row r="41" spans="1:4" ht="19.5" customHeight="1" x14ac:dyDescent="0.25">
      <c r="A41" s="8" t="s">
        <v>143</v>
      </c>
      <c r="B41" s="9"/>
      <c r="C41" s="9"/>
      <c r="D41" s="9"/>
    </row>
    <row r="42" spans="1:4" ht="19.5" customHeight="1" x14ac:dyDescent="0.25">
      <c r="A42" s="2" t="s">
        <v>144</v>
      </c>
      <c r="B42" s="2" t="s">
        <v>145</v>
      </c>
      <c r="C42" s="2" t="s">
        <v>146</v>
      </c>
      <c r="D42" s="2" t="s">
        <v>147</v>
      </c>
    </row>
    <row r="43" spans="1:4" x14ac:dyDescent="0.25">
      <c r="A43" s="39" t="s">
        <v>0</v>
      </c>
      <c r="B43" s="40" t="s">
        <v>148</v>
      </c>
      <c r="C43" s="40" t="s">
        <v>149</v>
      </c>
      <c r="D43" s="45" t="s">
        <v>150</v>
      </c>
    </row>
    <row r="44" spans="1:4" x14ac:dyDescent="0.25">
      <c r="A44" s="39" t="s">
        <v>73</v>
      </c>
      <c r="B44" s="40" t="s">
        <v>151</v>
      </c>
      <c r="C44" s="40" t="s">
        <v>152</v>
      </c>
      <c r="D44" s="46" t="s">
        <v>153</v>
      </c>
    </row>
    <row r="45" spans="1:4" ht="28.5" customHeight="1" x14ac:dyDescent="0.25">
      <c r="A45" s="39" t="s">
        <v>154</v>
      </c>
      <c r="B45" s="40" t="s">
        <v>155</v>
      </c>
      <c r="C45" s="40" t="s">
        <v>156</v>
      </c>
      <c r="D45" s="47" t="s">
        <v>157</v>
      </c>
    </row>
    <row r="46" spans="1:4" x14ac:dyDescent="0.25">
      <c r="A46" s="39" t="s">
        <v>158</v>
      </c>
      <c r="B46" s="40" t="s">
        <v>159</v>
      </c>
      <c r="C46" s="40" t="s">
        <v>160</v>
      </c>
      <c r="D46" s="48" t="s">
        <v>161</v>
      </c>
    </row>
    <row r="47" spans="1:4" x14ac:dyDescent="0.25">
      <c r="A47" s="39" t="s">
        <v>162</v>
      </c>
      <c r="B47" s="40" t="s">
        <v>163</v>
      </c>
      <c r="C47" s="40" t="s">
        <v>149</v>
      </c>
      <c r="D47" s="49" t="s">
        <v>164</v>
      </c>
    </row>
    <row r="48" spans="1:4" x14ac:dyDescent="0.25">
      <c r="A48" s="39" t="s">
        <v>165</v>
      </c>
      <c r="B48" s="40" t="s">
        <v>166</v>
      </c>
      <c r="C48" s="40" t="s">
        <v>167</v>
      </c>
      <c r="D48" s="48" t="s">
        <v>161</v>
      </c>
    </row>
    <row r="49" spans="1:4" ht="25.5" customHeight="1" x14ac:dyDescent="0.25">
      <c r="A49" s="39" t="s">
        <v>168</v>
      </c>
      <c r="B49" s="40" t="s">
        <v>169</v>
      </c>
      <c r="C49" s="40" t="s">
        <v>170</v>
      </c>
      <c r="D49" s="48" t="s">
        <v>161</v>
      </c>
    </row>
    <row r="50" spans="1:4" ht="28.5" customHeight="1" x14ac:dyDescent="0.25">
      <c r="A50" s="39" t="s">
        <v>171</v>
      </c>
      <c r="B50" s="40" t="s">
        <v>172</v>
      </c>
      <c r="C50" s="40" t="s">
        <v>173</v>
      </c>
      <c r="D50" s="48" t="s">
        <v>161</v>
      </c>
    </row>
    <row r="52" spans="1:4" ht="19.5" customHeight="1" x14ac:dyDescent="0.25">
      <c r="A52" s="8" t="s">
        <v>174</v>
      </c>
      <c r="B52" s="9"/>
      <c r="C52" s="9"/>
      <c r="D52" s="9"/>
    </row>
    <row r="53" spans="1:4" ht="42" customHeight="1" x14ac:dyDescent="0.25">
      <c r="A53" s="39" t="s">
        <v>175</v>
      </c>
      <c r="B53" s="40" t="s">
        <v>176</v>
      </c>
    </row>
    <row r="55" spans="1:4" ht="19.5" customHeight="1" x14ac:dyDescent="0.25">
      <c r="A55" s="8" t="s">
        <v>177</v>
      </c>
      <c r="B55" s="9"/>
      <c r="C55" s="9"/>
      <c r="D55" s="9"/>
    </row>
    <row r="56" spans="1:4" x14ac:dyDescent="0.25">
      <c r="A56" s="39" t="s">
        <v>178</v>
      </c>
      <c r="B56" s="40" t="s">
        <v>179</v>
      </c>
    </row>
    <row r="57" spans="1:4" ht="28.5" customHeight="1" x14ac:dyDescent="0.25">
      <c r="A57" s="39" t="s">
        <v>180</v>
      </c>
      <c r="B57" s="40" t="s">
        <v>181</v>
      </c>
    </row>
    <row r="58" spans="1:4" ht="28.5" customHeight="1" x14ac:dyDescent="0.25">
      <c r="A58" s="39" t="s">
        <v>182</v>
      </c>
      <c r="B58" s="40" t="s">
        <v>183</v>
      </c>
    </row>
    <row r="59" spans="1:4" x14ac:dyDescent="0.25">
      <c r="A59" s="39" t="s">
        <v>184</v>
      </c>
      <c r="B59" s="40" t="s">
        <v>185</v>
      </c>
    </row>
    <row r="60" spans="1:4" x14ac:dyDescent="0.25">
      <c r="A60" s="39" t="s">
        <v>186</v>
      </c>
      <c r="B60" s="40" t="s">
        <v>187</v>
      </c>
    </row>
    <row r="62" spans="1:4" ht="19.5" customHeight="1" x14ac:dyDescent="0.25">
      <c r="A62" s="8" t="s">
        <v>188</v>
      </c>
      <c r="B62" s="9"/>
      <c r="C62" s="9"/>
      <c r="D62" s="9"/>
    </row>
    <row r="63" spans="1:4" x14ac:dyDescent="0.25">
      <c r="A63" s="39" t="s">
        <v>178</v>
      </c>
      <c r="B63" s="40" t="s">
        <v>189</v>
      </c>
    </row>
    <row r="64" spans="1:4" x14ac:dyDescent="0.25">
      <c r="A64" s="39" t="s">
        <v>180</v>
      </c>
      <c r="B64" s="40" t="s">
        <v>190</v>
      </c>
    </row>
    <row r="65" spans="1:4" x14ac:dyDescent="0.25">
      <c r="A65" s="39" t="s">
        <v>182</v>
      </c>
      <c r="B65" s="40" t="s">
        <v>191</v>
      </c>
    </row>
    <row r="67" spans="1:4" ht="19.5" customHeight="1" x14ac:dyDescent="0.25">
      <c r="A67" s="8" t="s">
        <v>192</v>
      </c>
      <c r="B67" s="9"/>
      <c r="C67" s="9"/>
      <c r="D67" s="9"/>
    </row>
    <row r="68" spans="1:4" ht="28.5" customHeight="1" x14ac:dyDescent="0.25">
      <c r="A68" s="39" t="s">
        <v>193</v>
      </c>
      <c r="B68" s="40" t="s">
        <v>194</v>
      </c>
    </row>
    <row r="69" spans="1:4" ht="28.5" customHeight="1" x14ac:dyDescent="0.25">
      <c r="A69" s="39" t="s">
        <v>195</v>
      </c>
      <c r="B69" s="40" t="s">
        <v>196</v>
      </c>
    </row>
    <row r="70" spans="1:4" ht="28.5" customHeight="1" x14ac:dyDescent="0.25">
      <c r="A70" s="39" t="s">
        <v>197</v>
      </c>
      <c r="B70" s="40" t="s">
        <v>198</v>
      </c>
    </row>
    <row r="71" spans="1:4" x14ac:dyDescent="0.25">
      <c r="A71" s="39" t="s">
        <v>199</v>
      </c>
      <c r="B71" s="40" t="s">
        <v>200</v>
      </c>
    </row>
    <row r="72" spans="1:4" x14ac:dyDescent="0.25">
      <c r="A72" s="39" t="s">
        <v>201</v>
      </c>
      <c r="B72" s="40" t="s">
        <v>202</v>
      </c>
    </row>
    <row r="73" spans="1:4" x14ac:dyDescent="0.25">
      <c r="A73" s="39" t="s">
        <v>203</v>
      </c>
      <c r="B73" s="40" t="s">
        <v>204</v>
      </c>
    </row>
    <row r="74" spans="1:4" ht="28.5" customHeight="1" x14ac:dyDescent="0.25">
      <c r="A74" s="39" t="s">
        <v>205</v>
      </c>
      <c r="B74" s="40" t="s">
        <v>206</v>
      </c>
    </row>
    <row r="76" spans="1:4" ht="19.5" customHeight="1" x14ac:dyDescent="0.25">
      <c r="A76" s="8" t="s">
        <v>207</v>
      </c>
      <c r="B76" s="9"/>
      <c r="C76" s="9"/>
      <c r="D76" s="9"/>
    </row>
    <row r="77" spans="1:4" ht="28.5" customHeight="1" x14ac:dyDescent="0.25">
      <c r="A77" s="39" t="s">
        <v>208</v>
      </c>
      <c r="B77" s="40" t="s">
        <v>209</v>
      </c>
    </row>
    <row r="78" spans="1:4" ht="28.5" customHeight="1" x14ac:dyDescent="0.25">
      <c r="A78" s="39" t="s">
        <v>210</v>
      </c>
      <c r="B78" s="40" t="s">
        <v>211</v>
      </c>
    </row>
    <row r="79" spans="1:4" ht="28.5" customHeight="1" x14ac:dyDescent="0.25">
      <c r="A79" s="39" t="s">
        <v>212</v>
      </c>
      <c r="B79" s="40" t="s">
        <v>213</v>
      </c>
    </row>
  </sheetData>
  <pageMargins left="0.75" right="0.75" top="1" bottom="1" header="0.511811023622047" footer="0.511811023622047"/>
  <pageSetup fitToHeight="0"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pageSetUpPr fitToPage="1"/>
  </sheetPr>
  <dimension ref="A1:C57"/>
  <sheetViews>
    <sheetView showGridLines="0" zoomScale="90" zoomScaleNormal="90" workbookViewId="0">
      <pane ySplit="4" topLeftCell="A5" activePane="bottomLeft" state="frozen"/>
      <selection pane="bottomLeft" activeCell="C49" sqref="C49"/>
    </sheetView>
  </sheetViews>
  <sheetFormatPr defaultColWidth="8.7109375" defaultRowHeight="15" x14ac:dyDescent="0.25"/>
  <cols>
    <col min="1" max="1" width="48" customWidth="1"/>
    <col min="2" max="2" width="20" customWidth="1"/>
    <col min="3" max="3" width="90" customWidth="1"/>
  </cols>
  <sheetData>
    <row r="1" spans="1:3" ht="24" customHeight="1" x14ac:dyDescent="0.3">
      <c r="A1" s="6" t="s">
        <v>154</v>
      </c>
    </row>
    <row r="2" spans="1:3" x14ac:dyDescent="0.25">
      <c r="A2" s="38" t="s">
        <v>214</v>
      </c>
    </row>
    <row r="4" spans="1:3" ht="30" customHeight="1" x14ac:dyDescent="0.25">
      <c r="A4" s="2" t="s">
        <v>215</v>
      </c>
      <c r="B4" s="2" t="s">
        <v>216</v>
      </c>
      <c r="C4" s="2" t="s">
        <v>217</v>
      </c>
    </row>
    <row r="5" spans="1:3" x14ac:dyDescent="0.25">
      <c r="A5" s="50" t="s">
        <v>218</v>
      </c>
      <c r="B5" s="25"/>
      <c r="C5" s="25"/>
    </row>
    <row r="6" spans="1:3" x14ac:dyDescent="0.25">
      <c r="A6" s="51" t="s">
        <v>219</v>
      </c>
      <c r="B6" s="52">
        <v>46265</v>
      </c>
      <c r="C6" s="53" t="s">
        <v>220</v>
      </c>
    </row>
    <row r="7" spans="1:3" x14ac:dyDescent="0.25">
      <c r="A7" s="51" t="s">
        <v>221</v>
      </c>
      <c r="B7" s="54">
        <v>2026</v>
      </c>
      <c r="C7" s="53" t="s">
        <v>222</v>
      </c>
    </row>
    <row r="8" spans="1:3" x14ac:dyDescent="0.25">
      <c r="A8" s="51" t="s">
        <v>223</v>
      </c>
      <c r="B8" s="55">
        <f>MONTH(B6)</f>
        <v>8</v>
      </c>
      <c r="C8" s="53" t="s">
        <v>224</v>
      </c>
    </row>
    <row r="10" spans="1:3" x14ac:dyDescent="0.25">
      <c r="A10" s="50" t="s">
        <v>225</v>
      </c>
      <c r="B10" s="25"/>
      <c r="C10" s="25"/>
    </row>
    <row r="11" spans="1:3" x14ac:dyDescent="0.25">
      <c r="A11" s="51" t="s">
        <v>226</v>
      </c>
      <c r="B11" s="56">
        <v>0.25</v>
      </c>
      <c r="C11" s="53" t="s">
        <v>227</v>
      </c>
    </row>
    <row r="12" spans="1:3" x14ac:dyDescent="0.25">
      <c r="A12" s="51" t="s">
        <v>228</v>
      </c>
      <c r="B12" s="56">
        <v>0.05</v>
      </c>
      <c r="C12" s="53" t="s">
        <v>229</v>
      </c>
    </row>
    <row r="13" spans="1:3" x14ac:dyDescent="0.25">
      <c r="A13" s="51" t="s">
        <v>230</v>
      </c>
      <c r="B13" s="56">
        <v>0.1</v>
      </c>
      <c r="C13" s="53" t="s">
        <v>231</v>
      </c>
    </row>
    <row r="14" spans="1:3" x14ac:dyDescent="0.25">
      <c r="A14" s="51" t="s">
        <v>232</v>
      </c>
      <c r="B14" s="56">
        <v>0.15</v>
      </c>
      <c r="C14" s="53" t="s">
        <v>233</v>
      </c>
    </row>
    <row r="15" spans="1:3" x14ac:dyDescent="0.25">
      <c r="A15" s="51" t="s">
        <v>234</v>
      </c>
      <c r="B15" s="56">
        <v>0.25</v>
      </c>
      <c r="C15" s="53" t="s">
        <v>235</v>
      </c>
    </row>
    <row r="16" spans="1:3" x14ac:dyDescent="0.25">
      <c r="A16" s="51" t="s">
        <v>236</v>
      </c>
      <c r="B16" s="56">
        <v>1</v>
      </c>
      <c r="C16" s="53" t="s">
        <v>237</v>
      </c>
    </row>
    <row r="17" spans="1:3" ht="25.5" customHeight="1" x14ac:dyDescent="0.25">
      <c r="A17" s="51" t="s">
        <v>238</v>
      </c>
      <c r="B17" s="57" t="s">
        <v>239</v>
      </c>
      <c r="C17" s="58" t="str">
        <f>"1 + benefits + (target bonus × expected payout). Example: a Level 3 manager at $100K base costs "&amp;TEXT(100000*(1+B11+B14*B16),"$#,##0")&amp;" a year."</f>
        <v>1 + benefits + (target bonus × expected payout). Example: a Level 3 manager at $100K base costs $140,000 a year.</v>
      </c>
    </row>
    <row r="19" spans="1:3" x14ac:dyDescent="0.25">
      <c r="A19" s="50" t="s">
        <v>240</v>
      </c>
      <c r="B19" s="25"/>
      <c r="C19" s="25"/>
    </row>
    <row r="20" spans="1:3" x14ac:dyDescent="0.25">
      <c r="A20" s="51" t="s">
        <v>241</v>
      </c>
      <c r="B20" s="56">
        <v>0.05</v>
      </c>
      <c r="C20" s="53" t="s">
        <v>242</v>
      </c>
    </row>
    <row r="21" spans="1:3" ht="28.5" customHeight="1" x14ac:dyDescent="0.25">
      <c r="A21" s="51" t="s">
        <v>243</v>
      </c>
      <c r="B21" s="56">
        <v>0.01</v>
      </c>
      <c r="C21" s="53" t="s">
        <v>244</v>
      </c>
    </row>
    <row r="23" spans="1:3" x14ac:dyDescent="0.25">
      <c r="A23" s="50" t="s">
        <v>245</v>
      </c>
      <c r="B23" s="25"/>
      <c r="C23" s="25"/>
    </row>
    <row r="24" spans="1:3" x14ac:dyDescent="0.25">
      <c r="A24" s="51" t="s">
        <v>246</v>
      </c>
      <c r="B24" s="59">
        <v>200000000</v>
      </c>
      <c r="C24" s="53" t="s">
        <v>1570</v>
      </c>
    </row>
    <row r="25" spans="1:3" x14ac:dyDescent="0.25">
      <c r="A25" s="51" t="s">
        <v>247</v>
      </c>
      <c r="B25" s="56">
        <v>0.06</v>
      </c>
      <c r="C25" s="53" t="s">
        <v>248</v>
      </c>
    </row>
    <row r="26" spans="1:3" ht="28.5" customHeight="1" x14ac:dyDescent="0.25">
      <c r="A26" s="51" t="s">
        <v>249</v>
      </c>
      <c r="B26" s="56">
        <v>0.4</v>
      </c>
      <c r="C26" s="58" t="str">
        <f>"Payroll may grow at "&amp;TEXT(B26,"0%")&amp;" of the rate revenue grows. Example: if revenue grows 10%, payroll may grow "&amp;TEXT(B26*0.1,"0.0%")&amp;". Because payroll is "&amp;TEXT(B35,"0%")&amp;" of revenue today, that is about "&amp;TEXT(B37,"$0.00")&amp;" of payroll per new revenue dollar (not "&amp;TEXT(B26,"$0.00")&amp;")."</f>
        <v>Payroll may grow at 40% of the rate revenue grows. Example: if revenue grows 10%, payroll may grow 4.0%. Because payroll is 28% of revenue today, that is about $0.11 of payroll per new revenue dollar (not $0.40).</v>
      </c>
    </row>
    <row r="27" spans="1:3" ht="28.5" customHeight="1" x14ac:dyDescent="0.25">
      <c r="A27" s="51" t="s">
        <v>250</v>
      </c>
      <c r="B27" s="57" t="s">
        <v>251</v>
      </c>
      <c r="C27" s="53" t="s">
        <v>252</v>
      </c>
    </row>
    <row r="28" spans="1:3" x14ac:dyDescent="0.25">
      <c r="A28" s="51" t="s">
        <v>253</v>
      </c>
      <c r="B28" s="56">
        <v>0.04</v>
      </c>
      <c r="C28" s="53" t="s">
        <v>254</v>
      </c>
    </row>
    <row r="29" spans="1:3" x14ac:dyDescent="0.25">
      <c r="A29" s="51" t="s">
        <v>255</v>
      </c>
      <c r="B29" s="54">
        <v>4</v>
      </c>
      <c r="C29" s="53" t="s">
        <v>1569</v>
      </c>
    </row>
    <row r="30" spans="1:3" x14ac:dyDescent="0.25">
      <c r="A30" s="51" t="s">
        <v>256</v>
      </c>
      <c r="B30" s="60">
        <f>((B29-1)+(13-B29)*(1+B28))/12</f>
        <v>1.03</v>
      </c>
      <c r="C30" s="58" t="str">
        <f>"Blends old and new pay over the year: "&amp;(B29-1)&amp;" months at old pay and "&amp;(13-B29)&amp;" months at new pay."</f>
        <v>Blends old and new pay over the year: 3 months at old pay and 9 months at new pay.</v>
      </c>
    </row>
    <row r="31" spans="1:3" ht="28.5" customHeight="1" x14ac:dyDescent="0.25">
      <c r="A31" s="51" t="s">
        <v>257</v>
      </c>
      <c r="B31" s="56">
        <v>0.02</v>
      </c>
      <c r="C31" s="53" t="s">
        <v>258</v>
      </c>
    </row>
    <row r="33" spans="1:3" x14ac:dyDescent="0.25">
      <c r="A33" s="50" t="s">
        <v>259</v>
      </c>
      <c r="B33" s="25"/>
      <c r="C33" s="25"/>
    </row>
    <row r="34" spans="1:3" x14ac:dyDescent="0.25">
      <c r="A34" s="51" t="s">
        <v>260</v>
      </c>
      <c r="B34" s="61">
        <f>'Dept Summary'!$Q$16/'Dept Summary'!$N$16</f>
        <v>2.1689621249659802E-2</v>
      </c>
      <c r="C34" s="53" t="s">
        <v>261</v>
      </c>
    </row>
    <row r="35" spans="1:3" x14ac:dyDescent="0.25">
      <c r="A35" s="51" t="s">
        <v>262</v>
      </c>
      <c r="B35" s="61">
        <f>'Dept Summary'!$K$16/B24</f>
        <v>0.28346937500000002</v>
      </c>
      <c r="C35" s="53" t="s">
        <v>263</v>
      </c>
    </row>
    <row r="36" spans="1:3" x14ac:dyDescent="0.25">
      <c r="A36" s="51" t="s">
        <v>264</v>
      </c>
      <c r="B36" s="61">
        <f>Assumptions!$B$25+Acquisitions!$M$11/Assumptions!$B$24</f>
        <v>0.11624999999999999</v>
      </c>
      <c r="C36" s="53" t="s">
        <v>265</v>
      </c>
    </row>
    <row r="37" spans="1:3" ht="28.5" customHeight="1" x14ac:dyDescent="0.25">
      <c r="A37" s="51" t="s">
        <v>266</v>
      </c>
      <c r="B37" s="62">
        <f>B26*B35</f>
        <v>0.11338775000000001</v>
      </c>
      <c r="C37" s="58" t="str">
        <f>"Payroll growth ratio × today's payroll % of revenue. Each new organic revenue dollar allows this much payroll, vs "&amp;TEXT(B35,"$0.00")&amp;" per dollar today."</f>
        <v>Payroll growth ratio × today's payroll % of revenue. Each new organic revenue dollar allows this much payroll, vs $0.28 per dollar today.</v>
      </c>
    </row>
    <row r="38" spans="1:3" ht="28.5" customHeight="1" x14ac:dyDescent="0.25">
      <c r="A38" s="51" t="s">
        <v>267</v>
      </c>
      <c r="B38" s="63">
        <f>SUMPRODUCT((Seats!$E$5:$E$1000="Yes")*Seats!$K$5:$K$1000*(13-Seats!$G$5:$G$1000))/12</f>
        <v>56208045.833333336</v>
      </c>
      <c r="C38" s="53" t="s">
        <v>268</v>
      </c>
    </row>
    <row r="40" spans="1:3" x14ac:dyDescent="0.25">
      <c r="A40" s="50" t="s">
        <v>269</v>
      </c>
      <c r="B40" s="25"/>
      <c r="C40" s="25"/>
    </row>
    <row r="41" spans="1:3" ht="28.5" customHeight="1" x14ac:dyDescent="0.25">
      <c r="A41" s="51" t="s">
        <v>270</v>
      </c>
      <c r="B41" s="64">
        <f>B42+B43</f>
        <v>74693875</v>
      </c>
      <c r="C41" s="53" t="s">
        <v>271</v>
      </c>
    </row>
    <row r="42" spans="1:3" x14ac:dyDescent="0.25">
      <c r="A42" s="51" t="s">
        <v>272</v>
      </c>
      <c r="B42" s="63">
        <f>'Dept Summary'!$K$16</f>
        <v>56693875</v>
      </c>
      <c r="C42" s="53" t="s">
        <v>273</v>
      </c>
    </row>
    <row r="43" spans="1:3" ht="28.5" customHeight="1" x14ac:dyDescent="0.25">
      <c r="A43" s="51" t="s">
        <v>274</v>
      </c>
      <c r="B43" s="59">
        <v>18000000</v>
      </c>
      <c r="C43" s="53" t="s">
        <v>275</v>
      </c>
    </row>
    <row r="44" spans="1:3" x14ac:dyDescent="0.25">
      <c r="A44" s="51" t="s">
        <v>276</v>
      </c>
      <c r="B44" s="65">
        <f>B41-B42-B43</f>
        <v>0</v>
      </c>
      <c r="C44" s="53" t="s">
        <v>277</v>
      </c>
    </row>
    <row r="45" spans="1:3" x14ac:dyDescent="0.25">
      <c r="A45" s="51" t="s">
        <v>278</v>
      </c>
      <c r="B45" s="66">
        <f>IF(B41=0,0,B42/B41)</f>
        <v>0.75901638521230819</v>
      </c>
      <c r="C45" s="53" t="s">
        <v>279</v>
      </c>
    </row>
    <row r="47" spans="1:3" x14ac:dyDescent="0.25">
      <c r="A47" s="50" t="s">
        <v>280</v>
      </c>
      <c r="B47" s="25"/>
      <c r="C47" s="25"/>
    </row>
    <row r="48" spans="1:3" ht="28.5" customHeight="1" x14ac:dyDescent="0.25">
      <c r="A48" s="51" t="s">
        <v>281</v>
      </c>
      <c r="B48" s="57" t="s">
        <v>282</v>
      </c>
      <c r="C48" s="53" t="s">
        <v>283</v>
      </c>
    </row>
    <row r="49" spans="1:3" ht="28.5" customHeight="1" x14ac:dyDescent="0.25">
      <c r="A49" s="51" t="s">
        <v>284</v>
      </c>
      <c r="B49" s="57" t="s">
        <v>285</v>
      </c>
      <c r="C49" s="53" t="s">
        <v>286</v>
      </c>
    </row>
    <row r="51" spans="1:3" x14ac:dyDescent="0.25">
      <c r="A51" s="50" t="s">
        <v>287</v>
      </c>
      <c r="B51" s="25"/>
      <c r="C51" s="25"/>
    </row>
    <row r="52" spans="1:3" x14ac:dyDescent="0.25">
      <c r="A52" s="51" t="s">
        <v>288</v>
      </c>
      <c r="B52" s="67" t="s">
        <v>289</v>
      </c>
      <c r="C52" s="53" t="s">
        <v>290</v>
      </c>
    </row>
    <row r="53" spans="1:3" x14ac:dyDescent="0.25">
      <c r="A53" s="51" t="s">
        <v>291</v>
      </c>
      <c r="B53" s="68" t="s">
        <v>289</v>
      </c>
      <c r="C53" s="53" t="s">
        <v>292</v>
      </c>
    </row>
    <row r="54" spans="1:3" x14ac:dyDescent="0.25">
      <c r="A54" s="51" t="s">
        <v>293</v>
      </c>
      <c r="B54" s="69" t="s">
        <v>289</v>
      </c>
      <c r="C54" s="53" t="s">
        <v>294</v>
      </c>
    </row>
    <row r="55" spans="1:3" x14ac:dyDescent="0.25">
      <c r="A55" s="51" t="s">
        <v>295</v>
      </c>
      <c r="B55" s="70" t="s">
        <v>289</v>
      </c>
      <c r="C55" s="53" t="s">
        <v>296</v>
      </c>
    </row>
    <row r="56" spans="1:3" ht="28.5" customHeight="1" x14ac:dyDescent="0.25">
      <c r="A56" s="51" t="s">
        <v>297</v>
      </c>
      <c r="B56" s="71" t="s">
        <v>298</v>
      </c>
      <c r="C56" s="53" t="s">
        <v>299</v>
      </c>
    </row>
    <row r="57" spans="1:3" ht="28.5" customHeight="1" x14ac:dyDescent="0.25">
      <c r="A57" s="51" t="s">
        <v>300</v>
      </c>
      <c r="B57" s="72" t="s">
        <v>89</v>
      </c>
      <c r="C57" s="53" t="s">
        <v>301</v>
      </c>
    </row>
  </sheetData>
  <pageMargins left="0.75" right="0.75" top="1" bottom="1" header="0.511811023622047" footer="0.511811023622047"/>
  <pageSetup fitToHeight="0"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ED7D31"/>
    <pageSetUpPr fitToPage="1"/>
  </sheetPr>
  <dimension ref="A1:R16"/>
  <sheetViews>
    <sheetView showGridLines="0" zoomScale="90" zoomScaleNormal="90" workbookViewId="0">
      <pane xSplit="1" ySplit="5" topLeftCell="B11" activePane="bottomRight" state="frozen"/>
      <selection pane="topRight"/>
      <selection pane="bottomLeft"/>
      <selection pane="bottomRight"/>
    </sheetView>
  </sheetViews>
  <sheetFormatPr defaultColWidth="8.7109375" defaultRowHeight="15" x14ac:dyDescent="0.25"/>
  <cols>
    <col min="1" max="1" width="30" customWidth="1"/>
    <col min="2" max="3" width="11" customWidth="1"/>
    <col min="4" max="4" width="15" customWidth="1"/>
    <col min="5" max="5" width="13.85546875" customWidth="1"/>
    <col min="6" max="6" width="12" customWidth="1"/>
    <col min="7" max="7" width="24.140625" customWidth="1"/>
    <col min="8" max="8" width="13" customWidth="1"/>
    <col min="9" max="9" width="11" customWidth="1"/>
    <col min="10" max="10" width="21" customWidth="1"/>
    <col min="11" max="11" width="15.42578125" customWidth="1"/>
    <col min="12" max="12" width="10" customWidth="1"/>
    <col min="13" max="18" width="14" customWidth="1"/>
  </cols>
  <sheetData>
    <row r="1" spans="1:18" ht="24" customHeight="1" x14ac:dyDescent="0.3">
      <c r="A1" s="6" t="s">
        <v>302</v>
      </c>
    </row>
    <row r="2" spans="1:18" x14ac:dyDescent="0.25">
      <c r="A2" s="38" t="s">
        <v>303</v>
      </c>
    </row>
    <row r="4" spans="1:18" x14ac:dyDescent="0.25">
      <c r="A4" s="73" t="s">
        <v>304</v>
      </c>
      <c r="L4" s="74" t="s">
        <v>305</v>
      </c>
    </row>
    <row r="5" spans="1:18" ht="55.5" customHeight="1" x14ac:dyDescent="0.25">
      <c r="A5" s="2" t="s">
        <v>306</v>
      </c>
      <c r="B5" s="2" t="s">
        <v>307</v>
      </c>
      <c r="C5" s="2" t="s">
        <v>308</v>
      </c>
      <c r="D5" s="2" t="s">
        <v>309</v>
      </c>
      <c r="E5" s="2" t="s">
        <v>310</v>
      </c>
      <c r="F5" s="2" t="s">
        <v>311</v>
      </c>
      <c r="G5" s="2" t="s">
        <v>312</v>
      </c>
      <c r="H5" s="2" t="s">
        <v>313</v>
      </c>
      <c r="I5" s="2" t="s">
        <v>314</v>
      </c>
      <c r="J5" s="2" t="s">
        <v>315</v>
      </c>
      <c r="K5" s="2" t="s">
        <v>316</v>
      </c>
      <c r="L5" s="2" t="s">
        <v>317</v>
      </c>
      <c r="M5" s="2" t="s">
        <v>318</v>
      </c>
      <c r="N5" s="2" t="s">
        <v>319</v>
      </c>
      <c r="O5" s="2" t="s">
        <v>320</v>
      </c>
      <c r="P5" s="2" t="s">
        <v>321</v>
      </c>
      <c r="Q5" s="2" t="s">
        <v>322</v>
      </c>
      <c r="R5" s="2" t="s">
        <v>323</v>
      </c>
    </row>
    <row r="6" spans="1:18" x14ac:dyDescent="0.25">
      <c r="A6" s="75" t="s">
        <v>324</v>
      </c>
      <c r="B6" s="76" t="s">
        <v>325</v>
      </c>
      <c r="C6" s="77">
        <v>4</v>
      </c>
      <c r="D6" s="78">
        <v>15000000</v>
      </c>
      <c r="E6" s="79">
        <v>34</v>
      </c>
      <c r="F6" s="79">
        <v>18</v>
      </c>
      <c r="G6" s="78">
        <v>2100000</v>
      </c>
      <c r="H6" s="80">
        <v>0.3</v>
      </c>
      <c r="I6" s="77">
        <v>2</v>
      </c>
      <c r="J6" s="78">
        <v>50000</v>
      </c>
      <c r="K6" s="80">
        <v>0.15</v>
      </c>
      <c r="L6" s="81">
        <f>IF(A6="","",MAX(0,13-C6))</f>
        <v>9</v>
      </c>
      <c r="M6" s="82">
        <f>IF(A6="","",D6*L6/12)</f>
        <v>11250000</v>
      </c>
      <c r="N6" s="82">
        <f>IF(A6="","",M6*K6)</f>
        <v>1687500</v>
      </c>
      <c r="O6" s="82">
        <f>IF(A6="","",G6*L6/12-G6*H6*MAX(0,L6-I6)/12)</f>
        <v>1207500</v>
      </c>
      <c r="P6" s="82">
        <f>IF(A6="","",N6-O6-J6)</f>
        <v>430000</v>
      </c>
      <c r="Q6" s="83">
        <f>IF(A6="","",SUMIFS(Requests!$Y$6:$Y$20,Requests!$M$6:$M$20,A6,Requests!$L$6:$L$20,"Pending")+SUMIFS(Requests!$Y$6:$Y$20,Requests!$M$6:$M$20,A6,Requests!$L$6:$L$20,"Approved"))</f>
        <v>184576</v>
      </c>
      <c r="R6" s="82">
        <f>IF(A6="","",P6-Q6)</f>
        <v>245424</v>
      </c>
    </row>
    <row r="7" spans="1:18" x14ac:dyDescent="0.25">
      <c r="A7" s="75"/>
      <c r="B7" s="76"/>
      <c r="C7" s="77"/>
      <c r="D7" s="78"/>
      <c r="E7" s="79"/>
      <c r="F7" s="79"/>
      <c r="G7" s="78"/>
      <c r="H7" s="80"/>
      <c r="I7" s="77"/>
      <c r="J7" s="78"/>
      <c r="K7" s="80"/>
      <c r="L7" s="81" t="str">
        <f>IF(A7="","",MAX(0,13-C7))</f>
        <v/>
      </c>
      <c r="M7" s="82" t="str">
        <f>IF(A7="","",D7*L7/12)</f>
        <v/>
      </c>
      <c r="N7" s="82" t="str">
        <f>IF(A7="","",M7*K7)</f>
        <v/>
      </c>
      <c r="O7" s="82" t="str">
        <f>IF(A7="","",G7*L7/12-G7*H7*MAX(0,L7-I7)/12)</f>
        <v/>
      </c>
      <c r="P7" s="82" t="str">
        <f>IF(A7="","",N7-O7-J7)</f>
        <v/>
      </c>
      <c r="Q7" s="83" t="str">
        <f>IF(A7="","",SUMIFS(Requests!$Y$6:$Y$20,Requests!$M$6:$M$20,A7,Requests!$L$6:$L$20,"Pending")+SUMIFS(Requests!$Y$6:$Y$20,Requests!$M$6:$M$20,A7,Requests!$L$6:$L$20,"Approved"))</f>
        <v/>
      </c>
      <c r="R7" s="82" t="str">
        <f>IF(A7="","",P7-Q7)</f>
        <v/>
      </c>
    </row>
    <row r="8" spans="1:18" x14ac:dyDescent="0.25">
      <c r="A8" s="75"/>
      <c r="B8" s="76"/>
      <c r="C8" s="77"/>
      <c r="D8" s="78"/>
      <c r="E8" s="79"/>
      <c r="F8" s="79"/>
      <c r="G8" s="78"/>
      <c r="H8" s="80"/>
      <c r="I8" s="77"/>
      <c r="J8" s="78"/>
      <c r="K8" s="80"/>
      <c r="L8" s="81" t="str">
        <f>IF(A8="","",MAX(0,13-C8))</f>
        <v/>
      </c>
      <c r="M8" s="82" t="str">
        <f>IF(A8="","",D8*L8/12)</f>
        <v/>
      </c>
      <c r="N8" s="82" t="str">
        <f>IF(A8="","",M8*K8)</f>
        <v/>
      </c>
      <c r="O8" s="82" t="str">
        <f>IF(A8="","",G8*L8/12-G8*H8*MAX(0,L8-I8)/12)</f>
        <v/>
      </c>
      <c r="P8" s="82" t="str">
        <f>IF(A8="","",N8-O8-J8)</f>
        <v/>
      </c>
      <c r="Q8" s="83" t="str">
        <f>IF(A8="","",SUMIFS(Requests!$Y$6:$Y$20,Requests!$M$6:$M$20,A8,Requests!$L$6:$L$20,"Pending")+SUMIFS(Requests!$Y$6:$Y$20,Requests!$M$6:$M$20,A8,Requests!$L$6:$L$20,"Approved"))</f>
        <v/>
      </c>
      <c r="R8" s="82" t="str">
        <f>IF(A8="","",P8-Q8)</f>
        <v/>
      </c>
    </row>
    <row r="9" spans="1:18" x14ac:dyDescent="0.25">
      <c r="A9" s="75"/>
      <c r="B9" s="76"/>
      <c r="C9" s="77"/>
      <c r="D9" s="78"/>
      <c r="E9" s="79"/>
      <c r="F9" s="79"/>
      <c r="G9" s="78"/>
      <c r="H9" s="80"/>
      <c r="I9" s="77"/>
      <c r="J9" s="78"/>
      <c r="K9" s="80"/>
      <c r="L9" s="81" t="str">
        <f>IF(A9="","",MAX(0,13-C9))</f>
        <v/>
      </c>
      <c r="M9" s="82" t="str">
        <f>IF(A9="","",D9*L9/12)</f>
        <v/>
      </c>
      <c r="N9" s="82" t="str">
        <f>IF(A9="","",M9*K9)</f>
        <v/>
      </c>
      <c r="O9" s="82" t="str">
        <f>IF(A9="","",G9*L9/12-G9*H9*MAX(0,L9-I9)/12)</f>
        <v/>
      </c>
      <c r="P9" s="82" t="str">
        <f>IF(A9="","",N9-O9-J9)</f>
        <v/>
      </c>
      <c r="Q9" s="83" t="str">
        <f>IF(A9="","",SUMIFS(Requests!$Y$6:$Y$20,Requests!$M$6:$M$20,A9,Requests!$L$6:$L$20,"Pending")+SUMIFS(Requests!$Y$6:$Y$20,Requests!$M$6:$M$20,A9,Requests!$L$6:$L$20,"Approved"))</f>
        <v/>
      </c>
      <c r="R9" s="82" t="str">
        <f>IF(A9="","",P9-Q9)</f>
        <v/>
      </c>
    </row>
    <row r="10" spans="1:18" x14ac:dyDescent="0.25">
      <c r="A10" s="75"/>
      <c r="B10" s="76"/>
      <c r="C10" s="77"/>
      <c r="D10" s="78"/>
      <c r="E10" s="79"/>
      <c r="F10" s="79"/>
      <c r="G10" s="78"/>
      <c r="H10" s="80"/>
      <c r="I10" s="77"/>
      <c r="J10" s="78"/>
      <c r="K10" s="80"/>
      <c r="L10" s="81" t="str">
        <f>IF(A10="","",MAX(0,13-C10))</f>
        <v/>
      </c>
      <c r="M10" s="82" t="str">
        <f>IF(A10="","",D10*L10/12)</f>
        <v/>
      </c>
      <c r="N10" s="82" t="str">
        <f>IF(A10="","",M10*K10)</f>
        <v/>
      </c>
      <c r="O10" s="82" t="str">
        <f>IF(A10="","",G10*L10/12-G10*H10*MAX(0,L10-I10)/12)</f>
        <v/>
      </c>
      <c r="P10" s="82" t="str">
        <f>IF(A10="","",N10-O10-J10)</f>
        <v/>
      </c>
      <c r="Q10" s="83" t="str">
        <f>IF(A10="","",SUMIFS(Requests!$Y$6:$Y$20,Requests!$M$6:$M$20,A10,Requests!$L$6:$L$20,"Pending")+SUMIFS(Requests!$Y$6:$Y$20,Requests!$M$6:$M$20,A10,Requests!$L$6:$L$20,"Approved"))</f>
        <v/>
      </c>
      <c r="R10" s="82" t="str">
        <f>IF(A10="","",P10-Q10)</f>
        <v/>
      </c>
    </row>
    <row r="11" spans="1:18" x14ac:dyDescent="0.25">
      <c r="A11" s="1" t="s">
        <v>326</v>
      </c>
      <c r="B11" s="25"/>
      <c r="C11" s="25"/>
      <c r="D11" s="25"/>
      <c r="E11" s="25"/>
      <c r="F11" s="25"/>
      <c r="G11" s="25"/>
      <c r="H11" s="25"/>
      <c r="I11" s="25"/>
      <c r="J11" s="25"/>
      <c r="K11" s="25"/>
      <c r="L11" s="25"/>
      <c r="M11" s="26">
        <f>SUMIFS(M6:M10,B6:B10,"Yes")</f>
        <v>11250000</v>
      </c>
      <c r="N11" s="26">
        <f>SUMIFS(N6:N10,B6:B10,"Yes")</f>
        <v>1687500</v>
      </c>
      <c r="O11" s="26">
        <f>SUMIFS(O6:O10,B6:B10,"Yes")</f>
        <v>1207500</v>
      </c>
      <c r="P11" s="26">
        <f>SUMIFS(P6:P10,B6:B10,"Yes")</f>
        <v>430000</v>
      </c>
      <c r="Q11" s="26">
        <f>SUMIFS(Q6:Q10,B6:B10,"Yes")</f>
        <v>184576</v>
      </c>
      <c r="R11" s="26">
        <f>SUMIFS(R6:R10,B6:B10,"Yes")</f>
        <v>245424</v>
      </c>
    </row>
    <row r="13" spans="1:18" ht="28.5" customHeight="1" x14ac:dyDescent="0.25">
      <c r="A13" s="84" t="s">
        <v>327</v>
      </c>
      <c r="B13" s="133" t="s">
        <v>328</v>
      </c>
      <c r="C13" s="133"/>
      <c r="D13" s="133"/>
      <c r="E13" s="133"/>
      <c r="F13" s="133"/>
      <c r="G13" s="133"/>
      <c r="H13" s="133"/>
      <c r="I13" s="133"/>
      <c r="J13" s="133"/>
      <c r="K13" s="133"/>
      <c r="L13" s="133"/>
      <c r="M13" s="133"/>
      <c r="N13" s="133"/>
      <c r="O13" s="133"/>
      <c r="P13" s="133"/>
    </row>
    <row r="14" spans="1:18" ht="28.5" customHeight="1" x14ac:dyDescent="0.25">
      <c r="A14" s="84" t="s">
        <v>329</v>
      </c>
      <c r="B14" s="133" t="s">
        <v>330</v>
      </c>
      <c r="C14" s="133"/>
      <c r="D14" s="133"/>
      <c r="E14" s="133"/>
      <c r="F14" s="133"/>
      <c r="G14" s="133"/>
      <c r="H14" s="133"/>
      <c r="I14" s="133"/>
      <c r="J14" s="133"/>
      <c r="K14" s="133"/>
      <c r="L14" s="133"/>
      <c r="M14" s="133"/>
      <c r="N14" s="133"/>
      <c r="O14" s="133"/>
      <c r="P14" s="133"/>
    </row>
    <row r="15" spans="1:18" ht="27.75" customHeight="1" x14ac:dyDescent="0.25">
      <c r="A15" s="84" t="s">
        <v>331</v>
      </c>
      <c r="B15" s="134" t="str">
        <f>"The share of acquired revenue we allow for corporate payroll. Keep it below today's "&amp;TEXT(Assumptions!$B$35,"0.0%")&amp;" (payroll % of revenue on Assumptions) so each deal improves margins."</f>
        <v>The share of acquired revenue we allow for corporate payroll. Keep it below today's 28.3% (payroll % of revenue on Assumptions) so each deal improves margins.</v>
      </c>
      <c r="C15" s="134"/>
      <c r="D15" s="134"/>
      <c r="E15" s="134"/>
      <c r="F15" s="134"/>
      <c r="G15" s="134"/>
      <c r="H15" s="134"/>
      <c r="I15" s="134"/>
      <c r="J15" s="134"/>
      <c r="K15" s="134"/>
      <c r="L15" s="134"/>
      <c r="M15" s="134"/>
      <c r="N15" s="134"/>
      <c r="O15" s="134"/>
      <c r="P15" s="134"/>
    </row>
    <row r="16" spans="1:18" ht="27.75" customHeight="1" x14ac:dyDescent="0.25">
      <c r="A16" s="84" t="s">
        <v>332</v>
      </c>
      <c r="B16" s="133" t="s">
        <v>333</v>
      </c>
      <c r="C16" s="133"/>
      <c r="D16" s="133"/>
      <c r="E16" s="133"/>
      <c r="F16" s="133"/>
      <c r="G16" s="133"/>
      <c r="H16" s="133"/>
      <c r="I16" s="133"/>
      <c r="J16" s="133"/>
      <c r="K16" s="133"/>
      <c r="L16" s="133"/>
      <c r="M16" s="133"/>
      <c r="N16" s="133"/>
      <c r="O16" s="133"/>
      <c r="P16" s="133"/>
    </row>
  </sheetData>
  <mergeCells count="4">
    <mergeCell ref="B13:P13"/>
    <mergeCell ref="B14:P14"/>
    <mergeCell ref="B15:P15"/>
    <mergeCell ref="B16:P16"/>
  </mergeCells>
  <dataValidations count="1">
    <dataValidation type="list" allowBlank="1" sqref="B6:B10" xr:uid="{00000000-0002-0000-0300-000000000000}">
      <formula1>"Yes,No"</formula1>
      <formula2>0</formula2>
    </dataValidation>
  </dataValidations>
  <pageMargins left="0.75" right="0.75" top="1" bottom="1" header="0.511811023622047" footer="0.511811023622047"/>
  <pageSetup fitToHeight="0"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70AD47"/>
    <pageSetUpPr fitToPage="1"/>
  </sheetPr>
  <dimension ref="A1:U26"/>
  <sheetViews>
    <sheetView showGridLines="0" zoomScale="90" zoomScaleNormal="90" workbookViewId="0">
      <pane xSplit="1" ySplit="4" topLeftCell="B5" activePane="bottomRight" state="frozen"/>
      <selection pane="topRight"/>
      <selection pane="bottomLeft"/>
      <selection pane="bottomRight"/>
    </sheetView>
  </sheetViews>
  <sheetFormatPr defaultColWidth="8.7109375" defaultRowHeight="15" x14ac:dyDescent="0.25"/>
  <cols>
    <col min="1" max="1" width="26" customWidth="1"/>
    <col min="2" max="4" width="11" customWidth="1"/>
    <col min="5" max="5" width="12" customWidth="1"/>
    <col min="6" max="10" width="11" customWidth="1"/>
    <col min="11" max="11" width="14" customWidth="1"/>
    <col min="12" max="12" width="26.140625" customWidth="1"/>
    <col min="13" max="13" width="16" customWidth="1"/>
    <col min="14" max="15" width="14" customWidth="1"/>
    <col min="16" max="19" width="15" customWidth="1"/>
    <col min="20" max="20" width="11" customWidth="1"/>
    <col min="21" max="21" width="30" customWidth="1"/>
  </cols>
  <sheetData>
    <row r="1" spans="1:21" ht="24" customHeight="1" x14ac:dyDescent="0.3">
      <c r="A1" s="6" t="s">
        <v>334</v>
      </c>
    </row>
    <row r="2" spans="1:21" x14ac:dyDescent="0.25">
      <c r="A2" s="38" t="s">
        <v>335</v>
      </c>
    </row>
    <row r="3" spans="1:21" x14ac:dyDescent="0.25">
      <c r="B3" s="85" t="s">
        <v>336</v>
      </c>
      <c r="G3" s="85" t="s">
        <v>337</v>
      </c>
    </row>
    <row r="4" spans="1:21" ht="55.5" customHeight="1" x14ac:dyDescent="0.25">
      <c r="A4" s="2" t="s">
        <v>11</v>
      </c>
      <c r="B4" s="2" t="s">
        <v>338</v>
      </c>
      <c r="C4" s="2" t="s">
        <v>339</v>
      </c>
      <c r="D4" s="2" t="s">
        <v>340</v>
      </c>
      <c r="E4" s="2" t="s">
        <v>341</v>
      </c>
      <c r="F4" s="2" t="s">
        <v>66</v>
      </c>
      <c r="G4" s="2" t="s">
        <v>342</v>
      </c>
      <c r="H4" s="2" t="s">
        <v>343</v>
      </c>
      <c r="I4" s="2" t="s">
        <v>344</v>
      </c>
      <c r="J4" s="2" t="s">
        <v>67</v>
      </c>
      <c r="K4" s="2" t="s">
        <v>345</v>
      </c>
      <c r="L4" s="2" t="s">
        <v>346</v>
      </c>
      <c r="M4" s="2" t="s">
        <v>347</v>
      </c>
      <c r="N4" s="2" t="s">
        <v>348</v>
      </c>
      <c r="O4" s="2" t="s">
        <v>349</v>
      </c>
      <c r="P4" s="2" t="s">
        <v>350</v>
      </c>
      <c r="Q4" s="2" t="s">
        <v>351</v>
      </c>
      <c r="R4" s="2" t="s">
        <v>352</v>
      </c>
      <c r="S4" s="2" t="s">
        <v>71</v>
      </c>
      <c r="T4" s="2" t="s">
        <v>98</v>
      </c>
      <c r="U4" s="2" t="s">
        <v>72</v>
      </c>
    </row>
    <row r="5" spans="1:21" x14ac:dyDescent="0.25">
      <c r="A5" s="76" t="s">
        <v>353</v>
      </c>
      <c r="B5" s="86">
        <f>COUNTIFS(Seats!$B$5:$B$1000,A5,Seats!$E$5:$E$1000,"Yes")</f>
        <v>113</v>
      </c>
      <c r="C5" s="86">
        <f>COUNTIFS(Seats!$B$5:$B$1000,A5,Seats!$W$5:$W$1000,"Open: to fill")</f>
        <v>3</v>
      </c>
      <c r="D5" s="86">
        <f>COUNTIFS(Seats!$B$5:$B$1000,A5,Seats!$W$5:$W$1000,"Open: on hold")</f>
        <v>0</v>
      </c>
      <c r="E5" s="86">
        <f>COUNTIFS(Seats!$B$5:$B$1000,A5,Seats!$W$5:$W$1000,"Unbudgeted hire")</f>
        <v>2</v>
      </c>
      <c r="F5" s="86">
        <f>SUMIFS(Seats!$N$5:$N$1000,Seats!$B$5:$B$1000,A5)</f>
        <v>112</v>
      </c>
      <c r="G5" s="86">
        <f>COUNTIFS(Roster!$C$5:$C$1504,A5,Roster!$F$5:$F$1504,"&lt;"&amp;DATE(Assumptions!$B$7,1,1),Roster!$G$5:$G$1504,"")+COUNTIFS(Roster!$C$5:$C$1504,A5,Roster!$F$5:$F$1504,"&lt;"&amp;DATE(Assumptions!$B$7,1,1),Roster!$G$5:$G$1504,"&gt;="&amp;DATE(Assumptions!$B$7,1,1))</f>
        <v>110</v>
      </c>
      <c r="H5" s="86">
        <f>COUNTIFS(Roster!$C$5:$C$1504,A5,Roster!$F$5:$F$1504,"&gt;="&amp;DATE(Assumptions!$B$7,1,1),Roster!$F$5:$F$1504,"&lt;="&amp;Assumptions!$B$6)</f>
        <v>8</v>
      </c>
      <c r="I5" s="86">
        <f>COUNTIFS(Roster!$C$5:$C$1504,A5,Roster!$G$5:$G$1504,"&gt;="&amp;DATE(Assumptions!$B$7,1,1),Roster!$G$5:$G$1504,"&lt;="&amp;Assumptions!$B$6)</f>
        <v>6</v>
      </c>
      <c r="J5" s="87">
        <f t="shared" ref="J5:J15" si="0">H5-I5</f>
        <v>2</v>
      </c>
      <c r="K5" s="83">
        <f>SUMIFS(Seats!$K$5:$K$1000,Seats!$B$5:$B$1000,A5)</f>
        <v>12238525</v>
      </c>
      <c r="L5" s="83">
        <f>SUMIFS(Seats!$R$5:$R$1000,Seats!$B$5:$B$1000,A5)</f>
        <v>12424055</v>
      </c>
      <c r="M5" s="82">
        <f t="shared" ref="M5:M15" si="1">K5-L5</f>
        <v>-185530</v>
      </c>
      <c r="N5" s="83">
        <f>SUMIFS(Seats!$M$5:$M$1000,Seats!$B$5:$B$1000,A5)</f>
        <v>8101068.7500000009</v>
      </c>
      <c r="O5" s="83">
        <f>SUMIFS(Seats!$P$5:$P$1000,Seats!$B$5:$B$1000,A5)</f>
        <v>8053558.3333333312</v>
      </c>
      <c r="P5" s="82">
        <f t="shared" ref="P5:P15" si="2">N5-O5</f>
        <v>47510.416666669771</v>
      </c>
      <c r="Q5" s="83">
        <f>SUMIFS(Seats!$S$5:$S$1000,Seats!$B$5:$B$1000,A5)</f>
        <v>97583.333333333328</v>
      </c>
      <c r="R5" s="83">
        <f>SUMIFS(Seats!$T$5:$T$1000,Seats!$B$5:$B$1000,A5)+SUMIFS(Seats!$U$5:$U$1000,Seats!$B$5:$B$1000,A5)</f>
        <v>-50072.91666666638</v>
      </c>
      <c r="S5" s="83">
        <f>SUMIFS(Requests!$Y$6:$Y$20,Requests!$C$6:$C$20,$A5,Requests!$AB$6:$AB$20,1,Requests!$L$6:$L$20,"Pending")+SUMIFS(Requests!$Y$6:$Y$20,Requests!$C$6:$C$20,$A5,Requests!$AB$6:$AB$20,1,Requests!$L$6:$L$20,"Approved")</f>
        <v>0</v>
      </c>
      <c r="T5" s="88">
        <f t="shared" ref="T5:T15" si="3">ROUND(P5-Q5-R5,2)+ABS(B5-C5-D5+E5-F5)+ABS(G5+J5-F5)</f>
        <v>0</v>
      </c>
      <c r="U5" s="89" t="str">
        <f>IF(M5&gt;=0,"Within budget",IF(-M5&lt;=Assumptions!$B$21*K5,"Slightly over (within cushion)","Over budget"))</f>
        <v>Over budget</v>
      </c>
    </row>
    <row r="6" spans="1:21" x14ac:dyDescent="0.25">
      <c r="A6" s="76" t="s">
        <v>354</v>
      </c>
      <c r="B6" s="86">
        <f>COUNTIFS(Seats!$B$5:$B$1000,A6,Seats!$E$5:$E$1000,"Yes")</f>
        <v>22</v>
      </c>
      <c r="C6" s="86">
        <f>COUNTIFS(Seats!$B$5:$B$1000,A6,Seats!$W$5:$W$1000,"Open: to fill")</f>
        <v>1</v>
      </c>
      <c r="D6" s="86">
        <f>COUNTIFS(Seats!$B$5:$B$1000,A6,Seats!$W$5:$W$1000,"Open: on hold")</f>
        <v>0</v>
      </c>
      <c r="E6" s="86">
        <f>COUNTIFS(Seats!$B$5:$B$1000,A6,Seats!$W$5:$W$1000,"Unbudgeted hire")</f>
        <v>0</v>
      </c>
      <c r="F6" s="86">
        <f>SUMIFS(Seats!$N$5:$N$1000,Seats!$B$5:$B$1000,A6)</f>
        <v>21</v>
      </c>
      <c r="G6" s="86">
        <f>COUNTIFS(Roster!$C$5:$C$1504,A6,Roster!$F$5:$F$1504,"&lt;"&amp;DATE(Assumptions!$B$7,1,1),Roster!$G$5:$G$1504,"")+COUNTIFS(Roster!$C$5:$C$1504,A6,Roster!$F$5:$F$1504,"&lt;"&amp;DATE(Assumptions!$B$7,1,1),Roster!$G$5:$G$1504,"&gt;="&amp;DATE(Assumptions!$B$7,1,1))</f>
        <v>20</v>
      </c>
      <c r="H6" s="86">
        <f>COUNTIFS(Roster!$C$5:$C$1504,A6,Roster!$F$5:$F$1504,"&gt;="&amp;DATE(Assumptions!$B$7,1,1),Roster!$F$5:$F$1504,"&lt;="&amp;Assumptions!$B$6)</f>
        <v>2</v>
      </c>
      <c r="I6" s="86">
        <f>COUNTIFS(Roster!$C$5:$C$1504,A6,Roster!$G$5:$G$1504,"&gt;="&amp;DATE(Assumptions!$B$7,1,1),Roster!$G$5:$G$1504,"&lt;="&amp;Assumptions!$B$6)</f>
        <v>1</v>
      </c>
      <c r="J6" s="87">
        <f t="shared" si="0"/>
        <v>1</v>
      </c>
      <c r="K6" s="83">
        <f>SUMIFS(Seats!$K$5:$K$1000,Seats!$B$5:$B$1000,A6)</f>
        <v>2351450</v>
      </c>
      <c r="L6" s="83">
        <f>SUMIFS(Seats!$R$5:$R$1000,Seats!$B$5:$B$1000,A6)</f>
        <v>2361175</v>
      </c>
      <c r="M6" s="82">
        <f t="shared" si="1"/>
        <v>-9725</v>
      </c>
      <c r="N6" s="83">
        <f>SUMIFS(Seats!$M$5:$M$1000,Seats!$B$5:$B$1000,A6)</f>
        <v>1528610.4166666665</v>
      </c>
      <c r="O6" s="83">
        <f>SUMIFS(Seats!$P$5:$P$1000,Seats!$B$5:$B$1000,A6)</f>
        <v>1480016.6666666665</v>
      </c>
      <c r="P6" s="82">
        <f t="shared" si="2"/>
        <v>48593.75</v>
      </c>
      <c r="Q6" s="83">
        <f>SUMIFS(Seats!$S$5:$S$1000,Seats!$B$5:$B$1000,A6)</f>
        <v>52200</v>
      </c>
      <c r="R6" s="83">
        <f>SUMIFS(Seats!$T$5:$T$1000,Seats!$B$5:$B$1000,A6)+SUMIFS(Seats!$U$5:$U$1000,Seats!$B$5:$B$1000,A6)</f>
        <v>-3606.2499999999709</v>
      </c>
      <c r="S6" s="83">
        <f>SUMIFS(Requests!$Y$6:$Y$20,Requests!$C$6:$C$20,$A6,Requests!$AB$6:$AB$20,1,Requests!$L$6:$L$20,"Pending")+SUMIFS(Requests!$Y$6:$Y$20,Requests!$C$6:$C$20,$A6,Requests!$AB$6:$AB$20,1,Requests!$L$6:$L$20,"Approved")</f>
        <v>0</v>
      </c>
      <c r="T6" s="88">
        <f t="shared" si="3"/>
        <v>0</v>
      </c>
      <c r="U6" s="89" t="str">
        <f>IF(M6&gt;=0,"Within budget",IF(-M6&lt;=Assumptions!$B$21*K6,"Slightly over (within cushion)","Over budget"))</f>
        <v>Slightly over (within cushion)</v>
      </c>
    </row>
    <row r="7" spans="1:21" x14ac:dyDescent="0.25">
      <c r="A7" s="76" t="s">
        <v>355</v>
      </c>
      <c r="B7" s="86">
        <f>COUNTIFS(Seats!$B$5:$B$1000,A7,Seats!$E$5:$E$1000,"Yes")</f>
        <v>69</v>
      </c>
      <c r="C7" s="86">
        <f>COUNTIFS(Seats!$B$5:$B$1000,A7,Seats!$W$5:$W$1000,"Open: to fill")</f>
        <v>2</v>
      </c>
      <c r="D7" s="86">
        <f>COUNTIFS(Seats!$B$5:$B$1000,A7,Seats!$W$5:$W$1000,"Open: on hold")</f>
        <v>2</v>
      </c>
      <c r="E7" s="86">
        <f>COUNTIFS(Seats!$B$5:$B$1000,A7,Seats!$W$5:$W$1000,"Unbudgeted hire")</f>
        <v>2</v>
      </c>
      <c r="F7" s="86">
        <f>SUMIFS(Seats!$N$5:$N$1000,Seats!$B$5:$B$1000,A7)</f>
        <v>67</v>
      </c>
      <c r="G7" s="86">
        <f>COUNTIFS(Roster!$C$5:$C$1504,A7,Roster!$F$5:$F$1504,"&lt;"&amp;DATE(Assumptions!$B$7,1,1),Roster!$G$5:$G$1504,"")+COUNTIFS(Roster!$C$5:$C$1504,A7,Roster!$F$5:$F$1504,"&lt;"&amp;DATE(Assumptions!$B$7,1,1),Roster!$G$5:$G$1504,"&gt;="&amp;DATE(Assumptions!$B$7,1,1))</f>
        <v>65</v>
      </c>
      <c r="H7" s="86">
        <f>COUNTIFS(Roster!$C$5:$C$1504,A7,Roster!$F$5:$F$1504,"&gt;="&amp;DATE(Assumptions!$B$7,1,1),Roster!$F$5:$F$1504,"&lt;="&amp;Assumptions!$B$6)</f>
        <v>5</v>
      </c>
      <c r="I7" s="86">
        <f>COUNTIFS(Roster!$C$5:$C$1504,A7,Roster!$G$5:$G$1504,"&gt;="&amp;DATE(Assumptions!$B$7,1,1),Roster!$G$5:$G$1504,"&lt;="&amp;Assumptions!$B$6)</f>
        <v>3</v>
      </c>
      <c r="J7" s="87">
        <f t="shared" si="0"/>
        <v>2</v>
      </c>
      <c r="K7" s="83">
        <f>SUMIFS(Seats!$K$5:$K$1000,Seats!$B$5:$B$1000,A7)</f>
        <v>7590725</v>
      </c>
      <c r="L7" s="83">
        <f>SUMIFS(Seats!$R$5:$R$1000,Seats!$B$5:$B$1000,A7)</f>
        <v>7601470</v>
      </c>
      <c r="M7" s="82">
        <f t="shared" si="1"/>
        <v>-10745</v>
      </c>
      <c r="N7" s="83">
        <f>SUMIFS(Seats!$M$5:$M$1000,Seats!$B$5:$B$1000,A7)</f>
        <v>4945731.2500000019</v>
      </c>
      <c r="O7" s="83">
        <f>SUMIFS(Seats!$P$5:$P$1000,Seats!$B$5:$B$1000,A7)</f>
        <v>4853080.4166666698</v>
      </c>
      <c r="P7" s="82">
        <f t="shared" si="2"/>
        <v>92650.833333332092</v>
      </c>
      <c r="Q7" s="83">
        <f>SUMIFS(Seats!$S$5:$S$1000,Seats!$B$5:$B$1000,A7)</f>
        <v>162904.16666666669</v>
      </c>
      <c r="R7" s="83">
        <f>SUMIFS(Seats!$T$5:$T$1000,Seats!$B$5:$B$1000,A7)+SUMIFS(Seats!$U$5:$U$1000,Seats!$B$5:$B$1000,A7)</f>
        <v>-70253.333333333227</v>
      </c>
      <c r="S7" s="83">
        <f>SUMIFS(Requests!$Y$6:$Y$20,Requests!$C$6:$C$20,$A7,Requests!$AB$6:$AB$20,1,Requests!$L$6:$L$20,"Pending")+SUMIFS(Requests!$Y$6:$Y$20,Requests!$C$6:$C$20,$A7,Requests!$AB$6:$AB$20,1,Requests!$L$6:$L$20,"Approved")</f>
        <v>0</v>
      </c>
      <c r="T7" s="88">
        <f t="shared" si="3"/>
        <v>0</v>
      </c>
      <c r="U7" s="89" t="str">
        <f>IF(M7&gt;=0,"Within budget",IF(-M7&lt;=Assumptions!$B$21*K7,"Slightly over (within cushion)","Over budget"))</f>
        <v>Slightly over (within cushion)</v>
      </c>
    </row>
    <row r="8" spans="1:21" x14ac:dyDescent="0.25">
      <c r="A8" s="76" t="s">
        <v>356</v>
      </c>
      <c r="B8" s="86">
        <f>COUNTIFS(Seats!$B$5:$B$1000,A8,Seats!$E$5:$E$1000,"Yes")</f>
        <v>36</v>
      </c>
      <c r="C8" s="86">
        <f>COUNTIFS(Seats!$B$5:$B$1000,A8,Seats!$W$5:$W$1000,"Open: to fill")</f>
        <v>1</v>
      </c>
      <c r="D8" s="86">
        <f>COUNTIFS(Seats!$B$5:$B$1000,A8,Seats!$W$5:$W$1000,"Open: on hold")</f>
        <v>0</v>
      </c>
      <c r="E8" s="86">
        <f>COUNTIFS(Seats!$B$5:$B$1000,A8,Seats!$W$5:$W$1000,"Unbudgeted hire")</f>
        <v>0</v>
      </c>
      <c r="F8" s="86">
        <f>SUMIFS(Seats!$N$5:$N$1000,Seats!$B$5:$B$1000,A8)</f>
        <v>35</v>
      </c>
      <c r="G8" s="86">
        <f>COUNTIFS(Roster!$C$5:$C$1504,A8,Roster!$F$5:$F$1504,"&lt;"&amp;DATE(Assumptions!$B$7,1,1),Roster!$G$5:$G$1504,"")+COUNTIFS(Roster!$C$5:$C$1504,A8,Roster!$F$5:$F$1504,"&lt;"&amp;DATE(Assumptions!$B$7,1,1),Roster!$G$5:$G$1504,"&gt;="&amp;DATE(Assumptions!$B$7,1,1))</f>
        <v>35</v>
      </c>
      <c r="H8" s="86">
        <f>COUNTIFS(Roster!$C$5:$C$1504,A8,Roster!$F$5:$F$1504,"&gt;="&amp;DATE(Assumptions!$B$7,1,1),Roster!$F$5:$F$1504,"&lt;="&amp;Assumptions!$B$6)</f>
        <v>3</v>
      </c>
      <c r="I8" s="86">
        <f>COUNTIFS(Roster!$C$5:$C$1504,A8,Roster!$G$5:$G$1504,"&gt;="&amp;DATE(Assumptions!$B$7,1,1),Roster!$G$5:$G$1504,"&lt;="&amp;Assumptions!$B$6)</f>
        <v>3</v>
      </c>
      <c r="J8" s="87">
        <f t="shared" si="0"/>
        <v>0</v>
      </c>
      <c r="K8" s="83">
        <f>SUMIFS(Seats!$K$5:$K$1000,Seats!$B$5:$B$1000,A8)</f>
        <v>4123475</v>
      </c>
      <c r="L8" s="83">
        <f>SUMIFS(Seats!$R$5:$R$1000,Seats!$B$5:$B$1000,A8)</f>
        <v>4120630</v>
      </c>
      <c r="M8" s="82">
        <f t="shared" si="1"/>
        <v>2845</v>
      </c>
      <c r="N8" s="83">
        <f>SUMIFS(Seats!$M$5:$M$1000,Seats!$B$5:$B$1000,A8)</f>
        <v>2732670.8333333335</v>
      </c>
      <c r="O8" s="83">
        <f>SUMIFS(Seats!$P$5:$P$1000,Seats!$B$5:$B$1000,A8)</f>
        <v>2692758.333333333</v>
      </c>
      <c r="P8" s="82">
        <f t="shared" si="2"/>
        <v>39912.500000000466</v>
      </c>
      <c r="Q8" s="83">
        <f>SUMIFS(Seats!$S$5:$S$1000,Seats!$B$5:$B$1000,A8)</f>
        <v>37462.500000000007</v>
      </c>
      <c r="R8" s="83">
        <f>SUMIFS(Seats!$T$5:$T$1000,Seats!$B$5:$B$1000,A8)+SUMIFS(Seats!$U$5:$U$1000,Seats!$B$5:$B$1000,A8)</f>
        <v>2450.0000000000509</v>
      </c>
      <c r="S8" s="83">
        <f>SUMIFS(Requests!$Y$6:$Y$20,Requests!$C$6:$C$20,$A8,Requests!$AB$6:$AB$20,1,Requests!$L$6:$L$20,"Pending")+SUMIFS(Requests!$Y$6:$Y$20,Requests!$C$6:$C$20,$A8,Requests!$AB$6:$AB$20,1,Requests!$L$6:$L$20,"Approved")</f>
        <v>0</v>
      </c>
      <c r="T8" s="88">
        <f t="shared" si="3"/>
        <v>0</v>
      </c>
      <c r="U8" s="89" t="str">
        <f>IF(M8&gt;=0,"Within budget",IF(-M8&lt;=Assumptions!$B$21*K8,"Slightly over (within cushion)","Over budget"))</f>
        <v>Within budget</v>
      </c>
    </row>
    <row r="9" spans="1:21" x14ac:dyDescent="0.25">
      <c r="A9" s="76" t="s">
        <v>357</v>
      </c>
      <c r="B9" s="86">
        <f>COUNTIFS(Seats!$B$5:$B$1000,A9,Seats!$E$5:$E$1000,"Yes")</f>
        <v>32</v>
      </c>
      <c r="C9" s="86">
        <f>COUNTIFS(Seats!$B$5:$B$1000,A9,Seats!$W$5:$W$1000,"Open: to fill")</f>
        <v>1</v>
      </c>
      <c r="D9" s="86">
        <f>COUNTIFS(Seats!$B$5:$B$1000,A9,Seats!$W$5:$W$1000,"Open: on hold")</f>
        <v>0</v>
      </c>
      <c r="E9" s="86">
        <f>COUNTIFS(Seats!$B$5:$B$1000,A9,Seats!$W$5:$W$1000,"Unbudgeted hire")</f>
        <v>0</v>
      </c>
      <c r="F9" s="86">
        <f>SUMIFS(Seats!$N$5:$N$1000,Seats!$B$5:$B$1000,A9)</f>
        <v>31</v>
      </c>
      <c r="G9" s="86">
        <f>COUNTIFS(Roster!$C$5:$C$1504,A9,Roster!$F$5:$F$1504,"&lt;"&amp;DATE(Assumptions!$B$7,1,1),Roster!$G$5:$G$1504,"")+COUNTIFS(Roster!$C$5:$C$1504,A9,Roster!$F$5:$F$1504,"&lt;"&amp;DATE(Assumptions!$B$7,1,1),Roster!$G$5:$G$1504,"&gt;="&amp;DATE(Assumptions!$B$7,1,1))</f>
        <v>30</v>
      </c>
      <c r="H9" s="86">
        <f>COUNTIFS(Roster!$C$5:$C$1504,A9,Roster!$F$5:$F$1504,"&gt;="&amp;DATE(Assumptions!$B$7,1,1),Roster!$F$5:$F$1504,"&lt;="&amp;Assumptions!$B$6)</f>
        <v>2</v>
      </c>
      <c r="I9" s="86">
        <f>COUNTIFS(Roster!$C$5:$C$1504,A9,Roster!$G$5:$G$1504,"&gt;="&amp;DATE(Assumptions!$B$7,1,1),Roster!$G$5:$G$1504,"&lt;="&amp;Assumptions!$B$6)</f>
        <v>1</v>
      </c>
      <c r="J9" s="87">
        <f t="shared" si="0"/>
        <v>1</v>
      </c>
      <c r="K9" s="83">
        <f>SUMIFS(Seats!$K$5:$K$1000,Seats!$B$5:$B$1000,A9)</f>
        <v>3438625</v>
      </c>
      <c r="L9" s="83">
        <f>SUMIFS(Seats!$R$5:$R$1000,Seats!$B$5:$B$1000,A9)</f>
        <v>3436205</v>
      </c>
      <c r="M9" s="82">
        <f t="shared" si="1"/>
        <v>2420</v>
      </c>
      <c r="N9" s="83">
        <f>SUMIFS(Seats!$M$5:$M$1000,Seats!$B$5:$B$1000,A9)</f>
        <v>2212675</v>
      </c>
      <c r="O9" s="83">
        <f>SUMIFS(Seats!$P$5:$P$1000,Seats!$B$5:$B$1000,A9)</f>
        <v>2116064.166666667</v>
      </c>
      <c r="P9" s="82">
        <f t="shared" si="2"/>
        <v>96610.833333333023</v>
      </c>
      <c r="Q9" s="83">
        <f>SUMIFS(Seats!$S$5:$S$1000,Seats!$B$5:$B$1000,A9)</f>
        <v>92958.333333333343</v>
      </c>
      <c r="R9" s="83">
        <f>SUMIFS(Seats!$T$5:$T$1000,Seats!$B$5:$B$1000,A9)+SUMIFS(Seats!$U$5:$U$1000,Seats!$B$5:$B$1000,A9)</f>
        <v>3652.5000000001528</v>
      </c>
      <c r="S9" s="83">
        <f>SUMIFS(Requests!$Y$6:$Y$20,Requests!$C$6:$C$20,$A9,Requests!$AB$6:$AB$20,1,Requests!$L$6:$L$20,"Pending")+SUMIFS(Requests!$Y$6:$Y$20,Requests!$C$6:$C$20,$A9,Requests!$AB$6:$AB$20,1,Requests!$L$6:$L$20,"Approved")</f>
        <v>0</v>
      </c>
      <c r="T9" s="88">
        <f t="shared" si="3"/>
        <v>0</v>
      </c>
      <c r="U9" s="89" t="str">
        <f>IF(M9&gt;=0,"Within budget",IF(-M9&lt;=Assumptions!$B$21*K9,"Slightly over (within cushion)","Over budget"))</f>
        <v>Within budget</v>
      </c>
    </row>
    <row r="10" spans="1:21" x14ac:dyDescent="0.25">
      <c r="A10" s="76" t="s">
        <v>358</v>
      </c>
      <c r="B10" s="86">
        <f>COUNTIFS(Seats!$B$5:$B$1000,A10,Seats!$E$5:$E$1000,"Yes")</f>
        <v>56</v>
      </c>
      <c r="C10" s="86">
        <f>COUNTIFS(Seats!$B$5:$B$1000,A10,Seats!$W$5:$W$1000,"Open: to fill")</f>
        <v>1</v>
      </c>
      <c r="D10" s="86">
        <f>COUNTIFS(Seats!$B$5:$B$1000,A10,Seats!$W$5:$W$1000,"Open: on hold")</f>
        <v>0</v>
      </c>
      <c r="E10" s="86">
        <f>COUNTIFS(Seats!$B$5:$B$1000,A10,Seats!$W$5:$W$1000,"Unbudgeted hire")</f>
        <v>3</v>
      </c>
      <c r="F10" s="86">
        <f>SUMIFS(Seats!$N$5:$N$1000,Seats!$B$5:$B$1000,A10)</f>
        <v>58</v>
      </c>
      <c r="G10" s="86">
        <f>COUNTIFS(Roster!$C$5:$C$1504,A10,Roster!$F$5:$F$1504,"&lt;"&amp;DATE(Assumptions!$B$7,1,1),Roster!$G$5:$G$1504,"")+COUNTIFS(Roster!$C$5:$C$1504,A10,Roster!$F$5:$F$1504,"&lt;"&amp;DATE(Assumptions!$B$7,1,1),Roster!$G$5:$G$1504,"&gt;="&amp;DATE(Assumptions!$B$7,1,1))</f>
        <v>55</v>
      </c>
      <c r="H10" s="86">
        <f>COUNTIFS(Roster!$C$5:$C$1504,A10,Roster!$F$5:$F$1504,"&gt;="&amp;DATE(Assumptions!$B$7,1,1),Roster!$F$5:$F$1504,"&lt;="&amp;Assumptions!$B$6)</f>
        <v>6</v>
      </c>
      <c r="I10" s="86">
        <f>COUNTIFS(Roster!$C$5:$C$1504,A10,Roster!$G$5:$G$1504,"&gt;="&amp;DATE(Assumptions!$B$7,1,1),Roster!$G$5:$G$1504,"&lt;="&amp;Assumptions!$B$6)</f>
        <v>3</v>
      </c>
      <c r="J10" s="87">
        <f t="shared" si="0"/>
        <v>3</v>
      </c>
      <c r="K10" s="83">
        <f>SUMIFS(Seats!$K$5:$K$1000,Seats!$B$5:$B$1000,A10)</f>
        <v>5499375</v>
      </c>
      <c r="L10" s="83">
        <f>SUMIFS(Seats!$R$5:$R$1000,Seats!$B$5:$B$1000,A10)</f>
        <v>5809665</v>
      </c>
      <c r="M10" s="82">
        <f t="shared" si="1"/>
        <v>-310290</v>
      </c>
      <c r="N10" s="83">
        <f>SUMIFS(Seats!$M$5:$M$1000,Seats!$B$5:$B$1000,A10)</f>
        <v>3649937.4999999995</v>
      </c>
      <c r="O10" s="83">
        <f>SUMIFS(Seats!$P$5:$P$1000,Seats!$B$5:$B$1000,A10)</f>
        <v>3715134.1666666665</v>
      </c>
      <c r="P10" s="82">
        <f t="shared" si="2"/>
        <v>-65196.666666666977</v>
      </c>
      <c r="Q10" s="83">
        <f>SUMIFS(Seats!$S$5:$S$1000,Seats!$B$5:$B$1000,A10)</f>
        <v>29612.5</v>
      </c>
      <c r="R10" s="83">
        <f>SUMIFS(Seats!$T$5:$T$1000,Seats!$B$5:$B$1000,A10)+SUMIFS(Seats!$U$5:$U$1000,Seats!$B$5:$B$1000,A10)</f>
        <v>-94809.16666666657</v>
      </c>
      <c r="S10" s="83">
        <f>SUMIFS(Requests!$Y$6:$Y$20,Requests!$C$6:$C$20,$A10,Requests!$AB$6:$AB$20,1,Requests!$L$6:$L$20,"Pending")+SUMIFS(Requests!$Y$6:$Y$20,Requests!$C$6:$C$20,$A10,Requests!$AB$6:$AB$20,1,Requests!$L$6:$L$20,"Approved")</f>
        <v>0</v>
      </c>
      <c r="T10" s="88">
        <f t="shared" si="3"/>
        <v>0</v>
      </c>
      <c r="U10" s="89" t="str">
        <f>IF(M10&gt;=0,"Within budget",IF(-M10&lt;=Assumptions!$B$21*K10,"Slightly over (within cushion)","Over budget"))</f>
        <v>Over budget</v>
      </c>
    </row>
    <row r="11" spans="1:21" x14ac:dyDescent="0.25">
      <c r="A11" s="76" t="s">
        <v>359</v>
      </c>
      <c r="B11" s="86">
        <f>COUNTIFS(Seats!$B$5:$B$1000,A11,Seats!$E$5:$E$1000,"Yes")</f>
        <v>73</v>
      </c>
      <c r="C11" s="86">
        <f>COUNTIFS(Seats!$B$5:$B$1000,A11,Seats!$W$5:$W$1000,"Open: to fill")</f>
        <v>2</v>
      </c>
      <c r="D11" s="86">
        <f>COUNTIFS(Seats!$B$5:$B$1000,A11,Seats!$W$5:$W$1000,"Open: on hold")</f>
        <v>1</v>
      </c>
      <c r="E11" s="86">
        <f>COUNTIFS(Seats!$B$5:$B$1000,A11,Seats!$W$5:$W$1000,"Unbudgeted hire")</f>
        <v>1</v>
      </c>
      <c r="F11" s="86">
        <f>SUMIFS(Seats!$N$5:$N$1000,Seats!$B$5:$B$1000,A11)</f>
        <v>71</v>
      </c>
      <c r="G11" s="86">
        <f>COUNTIFS(Roster!$C$5:$C$1504,A11,Roster!$F$5:$F$1504,"&lt;"&amp;DATE(Assumptions!$B$7,1,1),Roster!$G$5:$G$1504,"")+COUNTIFS(Roster!$C$5:$C$1504,A11,Roster!$F$5:$F$1504,"&lt;"&amp;DATE(Assumptions!$B$7,1,1),Roster!$G$5:$G$1504,"&gt;="&amp;DATE(Assumptions!$B$7,1,1))</f>
        <v>70</v>
      </c>
      <c r="H11" s="86">
        <f>COUNTIFS(Roster!$C$5:$C$1504,A11,Roster!$F$5:$F$1504,"&gt;="&amp;DATE(Assumptions!$B$7,1,1),Roster!$F$5:$F$1504,"&lt;="&amp;Assumptions!$B$6)</f>
        <v>6</v>
      </c>
      <c r="I11" s="86">
        <f>COUNTIFS(Roster!$C$5:$C$1504,A11,Roster!$G$5:$G$1504,"&gt;="&amp;DATE(Assumptions!$B$7,1,1),Roster!$G$5:$G$1504,"&lt;="&amp;Assumptions!$B$6)</f>
        <v>5</v>
      </c>
      <c r="J11" s="87">
        <f t="shared" si="0"/>
        <v>1</v>
      </c>
      <c r="K11" s="83">
        <f>SUMIFS(Seats!$K$5:$K$1000,Seats!$B$5:$B$1000,A11)</f>
        <v>7818775</v>
      </c>
      <c r="L11" s="83">
        <f>SUMIFS(Seats!$R$5:$R$1000,Seats!$B$5:$B$1000,A11)</f>
        <v>7831195</v>
      </c>
      <c r="M11" s="82">
        <f t="shared" si="1"/>
        <v>-12420</v>
      </c>
      <c r="N11" s="83">
        <f>SUMIFS(Seats!$M$5:$M$1000,Seats!$B$5:$B$1000,A11)</f>
        <v>5140583.333333334</v>
      </c>
      <c r="O11" s="83">
        <f>SUMIFS(Seats!$P$5:$P$1000,Seats!$B$5:$B$1000,A11)</f>
        <v>4998569.9999999991</v>
      </c>
      <c r="P11" s="82">
        <f t="shared" si="2"/>
        <v>142013.33333333489</v>
      </c>
      <c r="Q11" s="83">
        <f>SUMIFS(Seats!$S$5:$S$1000,Seats!$B$5:$B$1000,A11)</f>
        <v>178197.91666666669</v>
      </c>
      <c r="R11" s="83">
        <f>SUMIFS(Seats!$T$5:$T$1000,Seats!$B$5:$B$1000,A11)+SUMIFS(Seats!$U$5:$U$1000,Seats!$B$5:$B$1000,A11)</f>
        <v>-36184.583333333198</v>
      </c>
      <c r="S11" s="83">
        <f>SUMIFS(Requests!$Y$6:$Y$20,Requests!$C$6:$C$20,$A11,Requests!$AB$6:$AB$20,1,Requests!$L$6:$L$20,"Pending")+SUMIFS(Requests!$Y$6:$Y$20,Requests!$C$6:$C$20,$A11,Requests!$AB$6:$AB$20,1,Requests!$L$6:$L$20,"Approved")</f>
        <v>0</v>
      </c>
      <c r="T11" s="88">
        <f t="shared" si="3"/>
        <v>0</v>
      </c>
      <c r="U11" s="89" t="str">
        <f>IF(M11&gt;=0,"Within budget",IF(-M11&lt;=Assumptions!$B$21*K11,"Slightly over (within cushion)","Over budget"))</f>
        <v>Slightly over (within cushion)</v>
      </c>
    </row>
    <row r="12" spans="1:21" x14ac:dyDescent="0.25">
      <c r="A12" s="76" t="s">
        <v>360</v>
      </c>
      <c r="B12" s="86">
        <f>COUNTIFS(Seats!$B$5:$B$1000,A12,Seats!$E$5:$E$1000,"Yes")</f>
        <v>36</v>
      </c>
      <c r="C12" s="86">
        <f>COUNTIFS(Seats!$B$5:$B$1000,A12,Seats!$W$5:$W$1000,"Open: to fill")</f>
        <v>1</v>
      </c>
      <c r="D12" s="86">
        <f>COUNTIFS(Seats!$B$5:$B$1000,A12,Seats!$W$5:$W$1000,"Open: on hold")</f>
        <v>0</v>
      </c>
      <c r="E12" s="86">
        <f>COUNTIFS(Seats!$B$5:$B$1000,A12,Seats!$W$5:$W$1000,"Unbudgeted hire")</f>
        <v>0</v>
      </c>
      <c r="F12" s="86">
        <f>SUMIFS(Seats!$N$5:$N$1000,Seats!$B$5:$B$1000,A12)</f>
        <v>35</v>
      </c>
      <c r="G12" s="86">
        <f>COUNTIFS(Roster!$C$5:$C$1504,A12,Roster!$F$5:$F$1504,"&lt;"&amp;DATE(Assumptions!$B$7,1,1),Roster!$G$5:$G$1504,"")+COUNTIFS(Roster!$C$5:$C$1504,A12,Roster!$F$5:$F$1504,"&lt;"&amp;DATE(Assumptions!$B$7,1,1),Roster!$G$5:$G$1504,"&gt;="&amp;DATE(Assumptions!$B$7,1,1))</f>
        <v>35</v>
      </c>
      <c r="H12" s="86">
        <f>COUNTIFS(Roster!$C$5:$C$1504,A12,Roster!$F$5:$F$1504,"&gt;="&amp;DATE(Assumptions!$B$7,1,1),Roster!$F$5:$F$1504,"&lt;="&amp;Assumptions!$B$6)</f>
        <v>2</v>
      </c>
      <c r="I12" s="86">
        <f>COUNTIFS(Roster!$C$5:$C$1504,A12,Roster!$G$5:$G$1504,"&gt;="&amp;DATE(Assumptions!$B$7,1,1),Roster!$G$5:$G$1504,"&lt;="&amp;Assumptions!$B$6)</f>
        <v>2</v>
      </c>
      <c r="J12" s="87">
        <f t="shared" si="0"/>
        <v>0</v>
      </c>
      <c r="K12" s="83">
        <f>SUMIFS(Seats!$K$5:$K$1000,Seats!$B$5:$B$1000,A12)</f>
        <v>5416950</v>
      </c>
      <c r="L12" s="83">
        <f>SUMIFS(Seats!$R$5:$R$1000,Seats!$B$5:$B$1000,A12)</f>
        <v>5426915</v>
      </c>
      <c r="M12" s="82">
        <f t="shared" si="1"/>
        <v>-9965</v>
      </c>
      <c r="N12" s="83">
        <f>SUMIFS(Seats!$M$5:$M$1000,Seats!$B$5:$B$1000,A12)</f>
        <v>3576537.5</v>
      </c>
      <c r="O12" s="83">
        <f>SUMIFS(Seats!$P$5:$P$1000,Seats!$B$5:$B$1000,A12)</f>
        <v>3520068.3333333335</v>
      </c>
      <c r="P12" s="82">
        <f t="shared" si="2"/>
        <v>56469.166666666511</v>
      </c>
      <c r="Q12" s="83">
        <f>SUMIFS(Seats!$S$5:$S$1000,Seats!$B$5:$B$1000,A12)</f>
        <v>63731.250000000007</v>
      </c>
      <c r="R12" s="83">
        <f>SUMIFS(Seats!$T$5:$T$1000,Seats!$B$5:$B$1000,A12)+SUMIFS(Seats!$U$5:$U$1000,Seats!$B$5:$B$1000,A12)</f>
        <v>-7262.083333333132</v>
      </c>
      <c r="S12" s="83">
        <f>SUMIFS(Requests!$Y$6:$Y$20,Requests!$C$6:$C$20,$A12,Requests!$AB$6:$AB$20,1,Requests!$L$6:$L$20,"Pending")+SUMIFS(Requests!$Y$6:$Y$20,Requests!$C$6:$C$20,$A12,Requests!$AB$6:$AB$20,1,Requests!$L$6:$L$20,"Approved")</f>
        <v>184576</v>
      </c>
      <c r="T12" s="88">
        <f t="shared" si="3"/>
        <v>0</v>
      </c>
      <c r="U12" s="89" t="str">
        <f>IF(M12&gt;=0,"Within budget",IF(-M12&lt;=Assumptions!$B$21*K12,"Slightly over (within cushion)","Over budget"))</f>
        <v>Slightly over (within cushion)</v>
      </c>
    </row>
    <row r="13" spans="1:21" x14ac:dyDescent="0.25">
      <c r="A13" s="76" t="s">
        <v>361</v>
      </c>
      <c r="B13" s="86">
        <f>COUNTIFS(Seats!$B$5:$B$1000,A13,Seats!$E$5:$E$1000,"Yes")</f>
        <v>18</v>
      </c>
      <c r="C13" s="86">
        <f>COUNTIFS(Seats!$B$5:$B$1000,A13,Seats!$W$5:$W$1000,"Open: to fill")</f>
        <v>1</v>
      </c>
      <c r="D13" s="86">
        <f>COUNTIFS(Seats!$B$5:$B$1000,A13,Seats!$W$5:$W$1000,"Open: on hold")</f>
        <v>0</v>
      </c>
      <c r="E13" s="86">
        <f>COUNTIFS(Seats!$B$5:$B$1000,A13,Seats!$W$5:$W$1000,"Unbudgeted hire")</f>
        <v>0</v>
      </c>
      <c r="F13" s="86">
        <f>SUMIFS(Seats!$N$5:$N$1000,Seats!$B$5:$B$1000,A13)</f>
        <v>17</v>
      </c>
      <c r="G13" s="86">
        <f>COUNTIFS(Roster!$C$5:$C$1504,A13,Roster!$F$5:$F$1504,"&lt;"&amp;DATE(Assumptions!$B$7,1,1),Roster!$G$5:$G$1504,"")+COUNTIFS(Roster!$C$5:$C$1504,A13,Roster!$F$5:$F$1504,"&lt;"&amp;DATE(Assumptions!$B$7,1,1),Roster!$G$5:$G$1504,"&gt;="&amp;DATE(Assumptions!$B$7,1,1))</f>
        <v>18</v>
      </c>
      <c r="H13" s="86">
        <f>COUNTIFS(Roster!$C$5:$C$1504,A13,Roster!$F$5:$F$1504,"&gt;="&amp;DATE(Assumptions!$B$7,1,1),Roster!$F$5:$F$1504,"&lt;="&amp;Assumptions!$B$6)</f>
        <v>1</v>
      </c>
      <c r="I13" s="86">
        <f>COUNTIFS(Roster!$C$5:$C$1504,A13,Roster!$G$5:$G$1504,"&gt;="&amp;DATE(Assumptions!$B$7,1,1),Roster!$G$5:$G$1504,"&lt;="&amp;Assumptions!$B$6)</f>
        <v>2</v>
      </c>
      <c r="J13" s="87">
        <f t="shared" si="0"/>
        <v>-1</v>
      </c>
      <c r="K13" s="83">
        <f>SUMIFS(Seats!$K$5:$K$1000,Seats!$B$5:$B$1000,A13)</f>
        <v>1893550</v>
      </c>
      <c r="L13" s="83">
        <f>SUMIFS(Seats!$R$5:$R$1000,Seats!$B$5:$B$1000,A13)</f>
        <v>1900370</v>
      </c>
      <c r="M13" s="82">
        <f t="shared" si="1"/>
        <v>-6820</v>
      </c>
      <c r="N13" s="83">
        <f>SUMIFS(Seats!$M$5:$M$1000,Seats!$B$5:$B$1000,A13)</f>
        <v>1262366.6666666667</v>
      </c>
      <c r="O13" s="83">
        <f>SUMIFS(Seats!$P$5:$P$1000,Seats!$B$5:$B$1000,A13)</f>
        <v>1248240.8333333333</v>
      </c>
      <c r="P13" s="82">
        <f t="shared" si="2"/>
        <v>14125.833333333489</v>
      </c>
      <c r="Q13" s="83">
        <f>SUMIFS(Seats!$S$5:$S$1000,Seats!$B$5:$B$1000,A13)</f>
        <v>19904.166666666668</v>
      </c>
      <c r="R13" s="83">
        <f>SUMIFS(Seats!$T$5:$T$1000,Seats!$B$5:$B$1000,A13)+SUMIFS(Seats!$U$5:$U$1000,Seats!$B$5:$B$1000,A13)</f>
        <v>-5778.3333333333285</v>
      </c>
      <c r="S13" s="83">
        <f>SUMIFS(Requests!$Y$6:$Y$20,Requests!$C$6:$C$20,$A13,Requests!$AB$6:$AB$20,1,Requests!$L$6:$L$20,"Pending")+SUMIFS(Requests!$Y$6:$Y$20,Requests!$C$6:$C$20,$A13,Requests!$AB$6:$AB$20,1,Requests!$L$6:$L$20,"Approved")</f>
        <v>0</v>
      </c>
      <c r="T13" s="88">
        <f t="shared" si="3"/>
        <v>0</v>
      </c>
      <c r="U13" s="89" t="str">
        <f>IF(M13&gt;=0,"Within budget",IF(-M13&lt;=Assumptions!$B$21*K13,"Slightly over (within cushion)","Over budget"))</f>
        <v>Slightly over (within cushion)</v>
      </c>
    </row>
    <row r="14" spans="1:21" x14ac:dyDescent="0.25">
      <c r="A14" s="76" t="s">
        <v>362</v>
      </c>
      <c r="B14" s="86">
        <f>COUNTIFS(Seats!$B$5:$B$1000,A14,Seats!$E$5:$E$1000,"Yes")</f>
        <v>27</v>
      </c>
      <c r="C14" s="86">
        <f>COUNTIFS(Seats!$B$5:$B$1000,A14,Seats!$W$5:$W$1000,"Open: to fill")</f>
        <v>0</v>
      </c>
      <c r="D14" s="86">
        <f>COUNTIFS(Seats!$B$5:$B$1000,A14,Seats!$W$5:$W$1000,"Open: on hold")</f>
        <v>0</v>
      </c>
      <c r="E14" s="86">
        <f>COUNTIFS(Seats!$B$5:$B$1000,A14,Seats!$W$5:$W$1000,"Unbudgeted hire")</f>
        <v>1</v>
      </c>
      <c r="F14" s="86">
        <f>SUMIFS(Seats!$N$5:$N$1000,Seats!$B$5:$B$1000,A14)</f>
        <v>28</v>
      </c>
      <c r="G14" s="86">
        <f>COUNTIFS(Roster!$C$5:$C$1504,A14,Roster!$F$5:$F$1504,"&lt;"&amp;DATE(Assumptions!$B$7,1,1),Roster!$G$5:$G$1504,"")+COUNTIFS(Roster!$C$5:$C$1504,A14,Roster!$F$5:$F$1504,"&lt;"&amp;DATE(Assumptions!$B$7,1,1),Roster!$G$5:$G$1504,"&gt;="&amp;DATE(Assumptions!$B$7,1,1))</f>
        <v>25</v>
      </c>
      <c r="H14" s="86">
        <f>COUNTIFS(Roster!$C$5:$C$1504,A14,Roster!$F$5:$F$1504,"&gt;="&amp;DATE(Assumptions!$B$7,1,1),Roster!$F$5:$F$1504,"&lt;="&amp;Assumptions!$B$6)</f>
        <v>4</v>
      </c>
      <c r="I14" s="86">
        <f>COUNTIFS(Roster!$C$5:$C$1504,A14,Roster!$G$5:$G$1504,"&gt;="&amp;DATE(Assumptions!$B$7,1,1),Roster!$G$5:$G$1504,"&lt;="&amp;Assumptions!$B$6)</f>
        <v>1</v>
      </c>
      <c r="J14" s="87">
        <f t="shared" si="0"/>
        <v>3</v>
      </c>
      <c r="K14" s="83">
        <f>SUMIFS(Seats!$K$5:$K$1000,Seats!$B$5:$B$1000,A14)</f>
        <v>2995725</v>
      </c>
      <c r="L14" s="83">
        <f>SUMIFS(Seats!$R$5:$R$1000,Seats!$B$5:$B$1000,A14)</f>
        <v>3087885</v>
      </c>
      <c r="M14" s="82">
        <f t="shared" si="1"/>
        <v>-92160</v>
      </c>
      <c r="N14" s="83">
        <f>SUMIFS(Seats!$M$5:$M$1000,Seats!$B$5:$B$1000,A14)</f>
        <v>1958756.25</v>
      </c>
      <c r="O14" s="83">
        <f>SUMIFS(Seats!$P$5:$P$1000,Seats!$B$5:$B$1000,A14)</f>
        <v>1951122.4999999998</v>
      </c>
      <c r="P14" s="82">
        <f t="shared" si="2"/>
        <v>7633.7500000002328</v>
      </c>
      <c r="Q14" s="83">
        <f>SUMIFS(Seats!$S$5:$S$1000,Seats!$B$5:$B$1000,A14)</f>
        <v>24737.5</v>
      </c>
      <c r="R14" s="83">
        <f>SUMIFS(Seats!$T$5:$T$1000,Seats!$B$5:$B$1000,A14)+SUMIFS(Seats!$U$5:$U$1000,Seats!$B$5:$B$1000,A14)</f>
        <v>-17103.749999999876</v>
      </c>
      <c r="S14" s="83">
        <f>SUMIFS(Requests!$Y$6:$Y$20,Requests!$C$6:$C$20,$A14,Requests!$AB$6:$AB$20,1,Requests!$L$6:$L$20,"Pending")+SUMIFS(Requests!$Y$6:$Y$20,Requests!$C$6:$C$20,$A14,Requests!$AB$6:$AB$20,1,Requests!$L$6:$L$20,"Approved")</f>
        <v>0</v>
      </c>
      <c r="T14" s="88">
        <f t="shared" si="3"/>
        <v>0</v>
      </c>
      <c r="U14" s="89" t="str">
        <f>IF(M14&gt;=0,"Within budget",IF(-M14&lt;=Assumptions!$B$21*K14,"Slightly over (within cushion)","Over budget"))</f>
        <v>Over budget</v>
      </c>
    </row>
    <row r="15" spans="1:21" x14ac:dyDescent="0.25">
      <c r="A15" s="76" t="s">
        <v>363</v>
      </c>
      <c r="B15" s="86">
        <f>COUNTIFS(Seats!$B$5:$B$1000,A15,Seats!$E$5:$E$1000,"Yes")</f>
        <v>31</v>
      </c>
      <c r="C15" s="86">
        <f>COUNTIFS(Seats!$B$5:$B$1000,A15,Seats!$W$5:$W$1000,"Open: to fill")</f>
        <v>0</v>
      </c>
      <c r="D15" s="86">
        <f>COUNTIFS(Seats!$B$5:$B$1000,A15,Seats!$W$5:$W$1000,"Open: on hold")</f>
        <v>1</v>
      </c>
      <c r="E15" s="86">
        <f>COUNTIFS(Seats!$B$5:$B$1000,A15,Seats!$W$5:$W$1000,"Unbudgeted hire")</f>
        <v>0</v>
      </c>
      <c r="F15" s="86">
        <f>SUMIFS(Seats!$N$5:$N$1000,Seats!$B$5:$B$1000,A15)</f>
        <v>30</v>
      </c>
      <c r="G15" s="86">
        <f>COUNTIFS(Roster!$C$5:$C$1504,A15,Roster!$F$5:$F$1504,"&lt;"&amp;DATE(Assumptions!$B$7,1,1),Roster!$G$5:$G$1504,"")+COUNTIFS(Roster!$C$5:$C$1504,A15,Roster!$F$5:$F$1504,"&lt;"&amp;DATE(Assumptions!$B$7,1,1),Roster!$G$5:$G$1504,"&gt;="&amp;DATE(Assumptions!$B$7,1,1))</f>
        <v>30</v>
      </c>
      <c r="H15" s="86">
        <f>COUNTIFS(Roster!$C$5:$C$1504,A15,Roster!$F$5:$F$1504,"&gt;="&amp;DATE(Assumptions!$B$7,1,1),Roster!$F$5:$F$1504,"&lt;="&amp;Assumptions!$B$6)</f>
        <v>1</v>
      </c>
      <c r="I15" s="86">
        <f>COUNTIFS(Roster!$C$5:$C$1504,A15,Roster!$G$5:$G$1504,"&gt;="&amp;DATE(Assumptions!$B$7,1,1),Roster!$G$5:$G$1504,"&lt;="&amp;Assumptions!$B$6)</f>
        <v>1</v>
      </c>
      <c r="J15" s="87">
        <f t="shared" si="0"/>
        <v>0</v>
      </c>
      <c r="K15" s="83">
        <f>SUMIFS(Seats!$K$5:$K$1000,Seats!$B$5:$B$1000,A15)</f>
        <v>3326700</v>
      </c>
      <c r="L15" s="83">
        <f>SUMIFS(Seats!$R$5:$R$1000,Seats!$B$5:$B$1000,A15)</f>
        <v>3236325</v>
      </c>
      <c r="M15" s="82">
        <f t="shared" si="1"/>
        <v>90375</v>
      </c>
      <c r="N15" s="83">
        <f>SUMIFS(Seats!$M$5:$M$1000,Seats!$B$5:$B$1000,A15)</f>
        <v>2201150</v>
      </c>
      <c r="O15" s="83">
        <f>SUMIFS(Seats!$P$5:$P$1000,Seats!$B$5:$B$1000,A15)</f>
        <v>2155131.2500000005</v>
      </c>
      <c r="P15" s="82">
        <f t="shared" si="2"/>
        <v>46018.749999999534</v>
      </c>
      <c r="Q15" s="83">
        <f>SUMIFS(Seats!$S$5:$S$1000,Seats!$B$5:$B$1000,A15)</f>
        <v>49950</v>
      </c>
      <c r="R15" s="83">
        <f>SUMIFS(Seats!$T$5:$T$1000,Seats!$B$5:$B$1000,A15)+SUMIFS(Seats!$U$5:$U$1000,Seats!$B$5:$B$1000,A15)</f>
        <v>-3931.2499999999782</v>
      </c>
      <c r="S15" s="83">
        <f>SUMIFS(Requests!$Y$6:$Y$20,Requests!$C$6:$C$20,$A15,Requests!$AB$6:$AB$20,1,Requests!$L$6:$L$20,"Pending")+SUMIFS(Requests!$Y$6:$Y$20,Requests!$C$6:$C$20,$A15,Requests!$AB$6:$AB$20,1,Requests!$L$6:$L$20,"Approved")</f>
        <v>0</v>
      </c>
      <c r="T15" s="88">
        <f t="shared" si="3"/>
        <v>0</v>
      </c>
      <c r="U15" s="89" t="str">
        <f>IF(M15&gt;=0,"Within budget",IF(-M15&lt;=Assumptions!$B$21*K15,"Slightly over (within cushion)","Over budget"))</f>
        <v>Within budget</v>
      </c>
    </row>
    <row r="16" spans="1:21" x14ac:dyDescent="0.25">
      <c r="A16" s="1" t="s">
        <v>364</v>
      </c>
      <c r="B16" s="27">
        <f t="shared" ref="B16:T16" si="4">SUM(B5:B15)</f>
        <v>513</v>
      </c>
      <c r="C16" s="27">
        <f t="shared" si="4"/>
        <v>13</v>
      </c>
      <c r="D16" s="27">
        <f t="shared" si="4"/>
        <v>4</v>
      </c>
      <c r="E16" s="27">
        <f t="shared" si="4"/>
        <v>9</v>
      </c>
      <c r="F16" s="27">
        <f t="shared" si="4"/>
        <v>505</v>
      </c>
      <c r="G16" s="27">
        <f t="shared" si="4"/>
        <v>493</v>
      </c>
      <c r="H16" s="27">
        <f t="shared" si="4"/>
        <v>40</v>
      </c>
      <c r="I16" s="27">
        <f t="shared" si="4"/>
        <v>28</v>
      </c>
      <c r="J16" s="27">
        <f t="shared" si="4"/>
        <v>12</v>
      </c>
      <c r="K16" s="26">
        <f t="shared" si="4"/>
        <v>56693875</v>
      </c>
      <c r="L16" s="26">
        <f t="shared" si="4"/>
        <v>57235890</v>
      </c>
      <c r="M16" s="26">
        <f t="shared" si="4"/>
        <v>-542015</v>
      </c>
      <c r="N16" s="26">
        <f t="shared" si="4"/>
        <v>37310087.5</v>
      </c>
      <c r="O16" s="26">
        <f t="shared" si="4"/>
        <v>36783745</v>
      </c>
      <c r="P16" s="26">
        <f t="shared" si="4"/>
        <v>526342.50000000303</v>
      </c>
      <c r="Q16" s="26">
        <f t="shared" si="4"/>
        <v>809241.66666666663</v>
      </c>
      <c r="R16" s="26">
        <f t="shared" si="4"/>
        <v>-282899.16666666552</v>
      </c>
      <c r="S16" s="26">
        <f t="shared" si="4"/>
        <v>184576</v>
      </c>
      <c r="T16" s="90">
        <f t="shared" si="4"/>
        <v>0</v>
      </c>
      <c r="U16" s="91" t="str">
        <f>IF(M16&gt;=0,"Within budget","Over budget")</f>
        <v>Over budget</v>
      </c>
    </row>
    <row r="18" spans="1:6" x14ac:dyDescent="0.25">
      <c r="A18" s="92" t="s">
        <v>365</v>
      </c>
    </row>
    <row r="19" spans="1:6" x14ac:dyDescent="0.25">
      <c r="A19" s="121" t="s">
        <v>366</v>
      </c>
      <c r="B19" s="121"/>
      <c r="C19" s="121"/>
      <c r="D19" s="121"/>
      <c r="E19" s="121"/>
      <c r="F19" s="93">
        <f>ROUND(F16-(SUM(Roster!$N$5:$N$1504)),2)</f>
        <v>0</v>
      </c>
    </row>
    <row r="20" spans="1:6" x14ac:dyDescent="0.25">
      <c r="A20" s="121" t="s">
        <v>367</v>
      </c>
      <c r="B20" s="121"/>
      <c r="C20" s="121"/>
      <c r="D20" s="121"/>
      <c r="E20" s="121"/>
      <c r="F20" s="93">
        <f>COUNTA(Roster!$A$5:$A$1504)-COUNT(Roster!$L$5:$L$1504)</f>
        <v>0</v>
      </c>
    </row>
    <row r="21" spans="1:6" x14ac:dyDescent="0.25">
      <c r="A21" s="121" t="s">
        <v>368</v>
      </c>
      <c r="B21" s="121"/>
      <c r="C21" s="121"/>
      <c r="D21" s="121"/>
      <c r="E21" s="121"/>
      <c r="F21" s="93">
        <f>SUMPRODUCT((Roster!$B$5:$B$1504&lt;&gt;"")*(COUNTIF(Seats!$A$5:$A$1000,Roster!$B$5:$B$1504)=0))</f>
        <v>0</v>
      </c>
    </row>
    <row r="22" spans="1:6" x14ac:dyDescent="0.25">
      <c r="A22" s="121" t="s">
        <v>369</v>
      </c>
      <c r="B22" s="121"/>
      <c r="C22" s="121"/>
      <c r="D22" s="121"/>
      <c r="E22" s="121"/>
      <c r="F22" s="93">
        <f>ROUND(O16-SUM(Seats!$P$5:$P$1000),2)</f>
        <v>0</v>
      </c>
    </row>
    <row r="23" spans="1:6" x14ac:dyDescent="0.25">
      <c r="A23" s="121" t="s">
        <v>370</v>
      </c>
      <c r="B23" s="121"/>
      <c r="C23" s="121"/>
      <c r="D23" s="121"/>
      <c r="E23" s="121"/>
      <c r="F23" s="93">
        <f>ROUND(K16-SUM(Seats!$K$5:$K$1000),2)</f>
        <v>0</v>
      </c>
    </row>
    <row r="24" spans="1:6" x14ac:dyDescent="0.25">
      <c r="A24" s="121" t="s">
        <v>371</v>
      </c>
      <c r="B24" s="121"/>
      <c r="C24" s="121"/>
      <c r="D24" s="121"/>
      <c r="E24" s="121"/>
      <c r="F24" s="94">
        <f>B16-C16-D16+E16-F16</f>
        <v>0</v>
      </c>
    </row>
    <row r="25" spans="1:6" x14ac:dyDescent="0.25">
      <c r="A25" s="121" t="s">
        <v>372</v>
      </c>
      <c r="B25" s="121"/>
      <c r="C25" s="121"/>
      <c r="D25" s="121"/>
      <c r="E25" s="121"/>
      <c r="F25" s="94">
        <f>G16+J16-F16</f>
        <v>0</v>
      </c>
    </row>
    <row r="26" spans="1:6" x14ac:dyDescent="0.25">
      <c r="A26" s="121" t="s">
        <v>373</v>
      </c>
      <c r="B26" s="121"/>
      <c r="C26" s="121"/>
      <c r="D26" s="121"/>
      <c r="E26" s="121"/>
      <c r="F26" s="94">
        <f>ROUND(P16-Q16-R16,2)</f>
        <v>0</v>
      </c>
    </row>
  </sheetData>
  <mergeCells count="8">
    <mergeCell ref="A24:E24"/>
    <mergeCell ref="A25:E25"/>
    <mergeCell ref="A26:E26"/>
    <mergeCell ref="A19:E19"/>
    <mergeCell ref="A20:E20"/>
    <mergeCell ref="A21:E21"/>
    <mergeCell ref="A22:E22"/>
    <mergeCell ref="A23:E23"/>
  </mergeCells>
  <pageMargins left="0.75" right="0.75" top="1" bottom="1" header="0.511811023622047" footer="0.511811023622047"/>
  <pageSetup fitToHeight="0" orientation="landscape" horizontalDpi="300" verticalDpi="300"/>
  <extLst>
    <ext xmlns:x14="http://schemas.microsoft.com/office/spreadsheetml/2009/9/main" uri="{78C0D931-6437-407d-A8EE-F0AAD7539E65}">
      <x14:conditionalFormattings>
        <x14:conditionalFormatting xmlns:xm="http://schemas.microsoft.com/office/excel/2006/main">
          <x14:cfRule type="iconSet" priority="501" id="{0D3D7474-8E13-4204-A122-03DBDBEB7633}">
            <x14:iconSet iconSet="3Triangles" custom="1">
              <x14:cfvo type="percent">
                <xm:f>0</xm:f>
              </x14:cfvo>
              <x14:cfvo type="num">
                <xm:f>0</xm:f>
              </x14:cfvo>
              <x14:cfvo type="num" gte="0">
                <xm:f>0</xm:f>
              </x14:cfvo>
              <x14:cfIcon iconSet="3Triangles" iconId="0"/>
              <x14:cfIcon iconSet="NoIcons" iconId="0"/>
              <x14:cfIcon iconSet="3Triangles" iconId="2"/>
            </x14:iconSet>
          </x14:cfRule>
          <xm:sqref>M5:M16 P5:R16</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ED7D31"/>
    <pageSetUpPr fitToPage="1"/>
  </sheetPr>
  <dimension ref="A1:W526"/>
  <sheetViews>
    <sheetView showGridLines="0" zoomScale="90" zoomScaleNormal="90" workbookViewId="0">
      <pane xSplit="1" ySplit="4" topLeftCell="B5" activePane="bottomRight" state="frozen"/>
      <selection pane="topRight"/>
      <selection pane="bottomLeft"/>
      <selection pane="bottomRight"/>
    </sheetView>
  </sheetViews>
  <sheetFormatPr defaultColWidth="8.7109375" defaultRowHeight="15" x14ac:dyDescent="0.25"/>
  <cols>
    <col min="1" max="1" width="9" customWidth="1"/>
    <col min="2" max="2" width="26" customWidth="1"/>
    <col min="3" max="3" width="28" customWidth="1"/>
    <col min="4" max="4" width="7" customWidth="1"/>
    <col min="5" max="5" width="9" customWidth="1"/>
    <col min="6" max="6" width="11" customWidth="1"/>
    <col min="7" max="7" width="9" customWidth="1"/>
    <col min="8" max="8" width="11" customWidth="1"/>
    <col min="9" max="9" width="46" customWidth="1"/>
    <col min="10" max="10" width="20.7109375" customWidth="1"/>
    <col min="11" max="11" width="13" customWidth="1"/>
    <col min="12" max="12" width="9" customWidth="1"/>
    <col min="13" max="13" width="13" customWidth="1"/>
    <col min="14" max="14" width="13.42578125" customWidth="1"/>
    <col min="15" max="15" width="9" customWidth="1"/>
    <col min="16" max="21" width="13" customWidth="1"/>
    <col min="22" max="22" width="12" customWidth="1"/>
    <col min="23" max="23" width="18" customWidth="1"/>
  </cols>
  <sheetData>
    <row r="1" spans="1:23" ht="24" customHeight="1" x14ac:dyDescent="0.3">
      <c r="A1" s="6" t="s">
        <v>374</v>
      </c>
    </row>
    <row r="2" spans="1:23" x14ac:dyDescent="0.25">
      <c r="A2" s="38" t="s">
        <v>375</v>
      </c>
    </row>
    <row r="3" spans="1:23" x14ac:dyDescent="0.25">
      <c r="A3" s="95" t="s">
        <v>376</v>
      </c>
      <c r="J3" s="96" t="s">
        <v>305</v>
      </c>
    </row>
    <row r="4" spans="1:23" ht="55.5" customHeight="1" x14ac:dyDescent="0.25">
      <c r="A4" s="2" t="s">
        <v>377</v>
      </c>
      <c r="B4" s="2" t="s">
        <v>11</v>
      </c>
      <c r="C4" s="2" t="s">
        <v>12</v>
      </c>
      <c r="D4" s="2" t="s">
        <v>378</v>
      </c>
      <c r="E4" s="2" t="s">
        <v>379</v>
      </c>
      <c r="F4" s="2" t="s">
        <v>380</v>
      </c>
      <c r="G4" s="2" t="s">
        <v>381</v>
      </c>
      <c r="H4" s="2" t="s">
        <v>382</v>
      </c>
      <c r="I4" s="2" t="s">
        <v>383</v>
      </c>
      <c r="J4" s="2" t="s">
        <v>384</v>
      </c>
      <c r="K4" s="2" t="s">
        <v>385</v>
      </c>
      <c r="L4" s="2" t="s">
        <v>386</v>
      </c>
      <c r="M4" s="2" t="s">
        <v>387</v>
      </c>
      <c r="N4" s="2" t="s">
        <v>388</v>
      </c>
      <c r="O4" s="2" t="s">
        <v>389</v>
      </c>
      <c r="P4" s="2" t="s">
        <v>390</v>
      </c>
      <c r="Q4" s="2" t="s">
        <v>391</v>
      </c>
      <c r="R4" s="2" t="s">
        <v>392</v>
      </c>
      <c r="S4" s="2" t="s">
        <v>393</v>
      </c>
      <c r="T4" s="2" t="s">
        <v>394</v>
      </c>
      <c r="U4" s="2" t="s">
        <v>395</v>
      </c>
      <c r="V4" s="2" t="s">
        <v>396</v>
      </c>
      <c r="W4" s="2" t="s">
        <v>72</v>
      </c>
    </row>
    <row r="5" spans="1:23" x14ac:dyDescent="0.25">
      <c r="A5" s="76" t="s">
        <v>397</v>
      </c>
      <c r="B5" s="76" t="s">
        <v>353</v>
      </c>
      <c r="C5" s="76" t="s">
        <v>398</v>
      </c>
      <c r="D5" s="97">
        <v>3</v>
      </c>
      <c r="E5" s="98" t="s">
        <v>325</v>
      </c>
      <c r="F5" s="78">
        <v>103500</v>
      </c>
      <c r="G5" s="97">
        <v>1</v>
      </c>
      <c r="H5" s="98" t="s">
        <v>399</v>
      </c>
      <c r="J5" s="99">
        <f>1+Assumptions!$B$11+INDEX(Assumptions!$B$12:$B$15,D5)*Assumptions!$B$16</f>
        <v>1.4</v>
      </c>
      <c r="K5" s="82">
        <f t="shared" ref="K5:K68" si="0">IF(E5="Yes",F5*J5,0)</f>
        <v>144900</v>
      </c>
      <c r="L5" s="100">
        <f>IF(E5="Yes",MAX(0,Assumptions!$B$8-G5+1),0)</f>
        <v>8</v>
      </c>
      <c r="M5" s="82">
        <f t="shared" ref="M5:M68" si="1">K5/12*L5</f>
        <v>96600</v>
      </c>
      <c r="N5" s="100">
        <f>MIN(1,SUMIFS(Roster!$N$5:$N$1504,Roster!$B$5:$B$1504,$A5))</f>
        <v>1</v>
      </c>
      <c r="O5" s="100">
        <f>SUMIFS(Roster!$L$5:$L$1504,Roster!$B$5:$B$1504,$A5)</f>
        <v>8</v>
      </c>
      <c r="P5" s="83">
        <f>SUMIFS(Roster!$M$5:$M$1504,Roster!$B$5:$B$1504,$A5)*J5</f>
        <v>96600</v>
      </c>
      <c r="Q5" s="83">
        <f>SUMIFS(Roster!$O$5:$O$1504,Roster!$B$5:$B$1504,$A5)*J5</f>
        <v>144900</v>
      </c>
      <c r="R5" s="82">
        <f t="shared" ref="R5:R68" si="2">IF(N5=1,Q5,IF(AND(E5="Yes",H5="Fill"),K5,0))</f>
        <v>144900</v>
      </c>
      <c r="S5" s="82">
        <f t="shared" ref="S5:S68" si="3">(L5-O5)*K5/12</f>
        <v>0</v>
      </c>
      <c r="T5" s="82">
        <f t="shared" ref="T5:T68" si="4">IF(E5="Yes",O5*K5/12-P5,0)</f>
        <v>0</v>
      </c>
      <c r="U5" s="82">
        <f t="shared" ref="U5:U68" si="5">IF(E5="No",-P5,0)</f>
        <v>0</v>
      </c>
      <c r="V5" s="83">
        <f>IF(COUNTIFS(Roster!$B$5:$B$1504,$A5,Roster!$G$5:$G$1504,"&gt;0")=0,0,SUMIFS(Roster!$H$5:$H$1504,Roster!$B$5:$B$1504,$A5,Roster!$G$5:$G$1504,_xlfn.MAXIFS(Roster!$G$5:$G$1504,Roster!$B$5:$B$1504,$A5)))</f>
        <v>0</v>
      </c>
      <c r="W5" s="101" t="str">
        <f t="shared" ref="W5:W68" si="6">IF(N5=1,IF(E5="Yes","Filled","Unbudgeted hire"),IF(E5="Yes",IF(H5="Hold","Open: on hold","Open: to fill"),"Unbudgeted (left)"))</f>
        <v>Filled</v>
      </c>
    </row>
    <row r="6" spans="1:23" x14ac:dyDescent="0.25">
      <c r="A6" s="76" t="s">
        <v>400</v>
      </c>
      <c r="B6" s="76" t="s">
        <v>353</v>
      </c>
      <c r="C6" s="76" t="s">
        <v>401</v>
      </c>
      <c r="D6" s="97">
        <v>2</v>
      </c>
      <c r="E6" s="98" t="s">
        <v>325</v>
      </c>
      <c r="F6" s="78">
        <v>73500</v>
      </c>
      <c r="G6" s="97">
        <v>1</v>
      </c>
      <c r="H6" s="98" t="s">
        <v>399</v>
      </c>
      <c r="J6" s="99">
        <f>1+Assumptions!$B$11+INDEX(Assumptions!$B$12:$B$15,D6)*Assumptions!$B$16</f>
        <v>1.35</v>
      </c>
      <c r="K6" s="82">
        <f t="shared" si="0"/>
        <v>99225</v>
      </c>
      <c r="L6" s="100">
        <f>IF(E6="Yes",MAX(0,Assumptions!$B$8-G6+1),0)</f>
        <v>8</v>
      </c>
      <c r="M6" s="82">
        <f t="shared" si="1"/>
        <v>66150</v>
      </c>
      <c r="N6" s="100">
        <f>MIN(1,SUMIFS(Roster!$N$5:$N$1504,Roster!$B$5:$B$1504,$A6))</f>
        <v>1</v>
      </c>
      <c r="O6" s="100">
        <f>SUMIFS(Roster!$L$5:$L$1504,Roster!$B$5:$B$1504,$A6)</f>
        <v>8</v>
      </c>
      <c r="P6" s="83">
        <f>SUMIFS(Roster!$M$5:$M$1504,Roster!$B$5:$B$1504,$A6)*J6</f>
        <v>66600.000000000015</v>
      </c>
      <c r="Q6" s="83">
        <f>SUMIFS(Roster!$O$5:$O$1504,Roster!$B$5:$B$1504,$A6)*J6</f>
        <v>99900</v>
      </c>
      <c r="R6" s="82">
        <f t="shared" si="2"/>
        <v>99900</v>
      </c>
      <c r="S6" s="82">
        <f t="shared" si="3"/>
        <v>0</v>
      </c>
      <c r="T6" s="82">
        <f t="shared" si="4"/>
        <v>-450.00000000001455</v>
      </c>
      <c r="U6" s="82">
        <f t="shared" si="5"/>
        <v>0</v>
      </c>
      <c r="V6" s="83">
        <f>IF(COUNTIFS(Roster!$B$5:$B$1504,$A6,Roster!$G$5:$G$1504,"&gt;0")=0,0,SUMIFS(Roster!$H$5:$H$1504,Roster!$B$5:$B$1504,$A6,Roster!$G$5:$G$1504,_xlfn.MAXIFS(Roster!$G$5:$G$1504,Roster!$B$5:$B$1504,$A6)))</f>
        <v>0</v>
      </c>
      <c r="W6" s="101" t="str">
        <f t="shared" si="6"/>
        <v>Filled</v>
      </c>
    </row>
    <row r="7" spans="1:23" x14ac:dyDescent="0.25">
      <c r="A7" s="76" t="s">
        <v>402</v>
      </c>
      <c r="B7" s="76" t="s">
        <v>353</v>
      </c>
      <c r="C7" s="76" t="s">
        <v>401</v>
      </c>
      <c r="D7" s="97">
        <v>2</v>
      </c>
      <c r="E7" s="98" t="s">
        <v>325</v>
      </c>
      <c r="F7" s="78">
        <v>85500</v>
      </c>
      <c r="G7" s="97">
        <v>1</v>
      </c>
      <c r="H7" s="98" t="s">
        <v>399</v>
      </c>
      <c r="J7" s="99">
        <f>1+Assumptions!$B$11+INDEX(Assumptions!$B$12:$B$15,D7)*Assumptions!$B$16</f>
        <v>1.35</v>
      </c>
      <c r="K7" s="82">
        <f t="shared" si="0"/>
        <v>115425.00000000001</v>
      </c>
      <c r="L7" s="100">
        <f>IF(E7="Yes",MAX(0,Assumptions!$B$8-G7+1),0)</f>
        <v>8</v>
      </c>
      <c r="M7" s="82">
        <f t="shared" si="1"/>
        <v>76950.000000000015</v>
      </c>
      <c r="N7" s="100">
        <f>MIN(1,SUMIFS(Roster!$N$5:$N$1504,Roster!$B$5:$B$1504,$A7))</f>
        <v>1</v>
      </c>
      <c r="O7" s="100">
        <f>SUMIFS(Roster!$L$5:$L$1504,Roster!$B$5:$B$1504,$A7)</f>
        <v>8</v>
      </c>
      <c r="P7" s="83">
        <f>SUMIFS(Roster!$M$5:$M$1504,Roster!$B$5:$B$1504,$A7)*J7</f>
        <v>76320.000000000015</v>
      </c>
      <c r="Q7" s="83">
        <f>SUMIFS(Roster!$O$5:$O$1504,Roster!$B$5:$B$1504,$A7)*J7</f>
        <v>114480.00000000001</v>
      </c>
      <c r="R7" s="82">
        <f t="shared" si="2"/>
        <v>114480.00000000001</v>
      </c>
      <c r="S7" s="82">
        <f t="shared" si="3"/>
        <v>0</v>
      </c>
      <c r="T7" s="82">
        <f t="shared" si="4"/>
        <v>630</v>
      </c>
      <c r="U7" s="82">
        <f t="shared" si="5"/>
        <v>0</v>
      </c>
      <c r="V7" s="83">
        <f>IF(COUNTIFS(Roster!$B$5:$B$1504,$A7,Roster!$G$5:$G$1504,"&gt;0")=0,0,SUMIFS(Roster!$H$5:$H$1504,Roster!$B$5:$B$1504,$A7,Roster!$G$5:$G$1504,_xlfn.MAXIFS(Roster!$G$5:$G$1504,Roster!$B$5:$B$1504,$A7)))</f>
        <v>0</v>
      </c>
      <c r="W7" s="101" t="str">
        <f t="shared" si="6"/>
        <v>Filled</v>
      </c>
    </row>
    <row r="8" spans="1:23" x14ac:dyDescent="0.25">
      <c r="A8" s="76" t="s">
        <v>403</v>
      </c>
      <c r="B8" s="76" t="s">
        <v>353</v>
      </c>
      <c r="C8" s="76" t="s">
        <v>398</v>
      </c>
      <c r="D8" s="97">
        <v>3</v>
      </c>
      <c r="E8" s="98" t="s">
        <v>325</v>
      </c>
      <c r="F8" s="78">
        <v>113500</v>
      </c>
      <c r="G8" s="97">
        <v>1</v>
      </c>
      <c r="H8" s="98" t="s">
        <v>399</v>
      </c>
      <c r="J8" s="99">
        <f>1+Assumptions!$B$11+INDEX(Assumptions!$B$12:$B$15,D8)*Assumptions!$B$16</f>
        <v>1.4</v>
      </c>
      <c r="K8" s="82">
        <f t="shared" si="0"/>
        <v>158900</v>
      </c>
      <c r="L8" s="100">
        <f>IF(E8="Yes",MAX(0,Assumptions!$B$8-G8+1),0)</f>
        <v>8</v>
      </c>
      <c r="M8" s="82">
        <f t="shared" si="1"/>
        <v>105933.33333333333</v>
      </c>
      <c r="N8" s="100">
        <f>MIN(1,SUMIFS(Roster!$N$5:$N$1504,Roster!$B$5:$B$1504,$A8))</f>
        <v>1</v>
      </c>
      <c r="O8" s="100">
        <f>SUMIFS(Roster!$L$5:$L$1504,Roster!$B$5:$B$1504,$A8)</f>
        <v>8</v>
      </c>
      <c r="P8" s="83">
        <f>SUMIFS(Roster!$M$5:$M$1504,Roster!$B$5:$B$1504,$A8)*J8</f>
        <v>105280</v>
      </c>
      <c r="Q8" s="83">
        <f>SUMIFS(Roster!$O$5:$O$1504,Roster!$B$5:$B$1504,$A8)*J8</f>
        <v>157920</v>
      </c>
      <c r="R8" s="82">
        <f t="shared" si="2"/>
        <v>157920</v>
      </c>
      <c r="S8" s="82">
        <f t="shared" si="3"/>
        <v>0</v>
      </c>
      <c r="T8" s="82">
        <f t="shared" si="4"/>
        <v>653.33333333332848</v>
      </c>
      <c r="U8" s="82">
        <f t="shared" si="5"/>
        <v>0</v>
      </c>
      <c r="V8" s="83">
        <f>IF(COUNTIFS(Roster!$B$5:$B$1504,$A8,Roster!$G$5:$G$1504,"&gt;0")=0,0,SUMIFS(Roster!$H$5:$H$1504,Roster!$B$5:$B$1504,$A8,Roster!$G$5:$G$1504,_xlfn.MAXIFS(Roster!$G$5:$G$1504,Roster!$B$5:$B$1504,$A8)))</f>
        <v>0</v>
      </c>
      <c r="W8" s="101" t="str">
        <f t="shared" si="6"/>
        <v>Filled</v>
      </c>
    </row>
    <row r="9" spans="1:23" x14ac:dyDescent="0.25">
      <c r="A9" s="76" t="s">
        <v>404</v>
      </c>
      <c r="B9" s="76" t="s">
        <v>353</v>
      </c>
      <c r="C9" s="76" t="s">
        <v>405</v>
      </c>
      <c r="D9" s="97">
        <v>1</v>
      </c>
      <c r="E9" s="98" t="s">
        <v>325</v>
      </c>
      <c r="F9" s="78">
        <v>68500</v>
      </c>
      <c r="G9" s="97">
        <v>1</v>
      </c>
      <c r="H9" s="98" t="s">
        <v>399</v>
      </c>
      <c r="J9" s="99">
        <f>1+Assumptions!$B$11+INDEX(Assumptions!$B$12:$B$15,D9)*Assumptions!$B$16</f>
        <v>1.3</v>
      </c>
      <c r="K9" s="82">
        <f t="shared" si="0"/>
        <v>89050</v>
      </c>
      <c r="L9" s="100">
        <f>IF(E9="Yes",MAX(0,Assumptions!$B$8-G9+1),0)</f>
        <v>8</v>
      </c>
      <c r="M9" s="82">
        <f t="shared" si="1"/>
        <v>59366.666666666664</v>
      </c>
      <c r="N9" s="100">
        <f>MIN(1,SUMIFS(Roster!$N$5:$N$1504,Roster!$B$5:$B$1504,$A9))</f>
        <v>1</v>
      </c>
      <c r="O9" s="100">
        <f>SUMIFS(Roster!$L$5:$L$1504,Roster!$B$5:$B$1504,$A9)</f>
        <v>8</v>
      </c>
      <c r="P9" s="83">
        <f>SUMIFS(Roster!$M$5:$M$1504,Roster!$B$5:$B$1504,$A9)*J9</f>
        <v>58586.666666666664</v>
      </c>
      <c r="Q9" s="83">
        <f>SUMIFS(Roster!$O$5:$O$1504,Roster!$B$5:$B$1504,$A9)*J9</f>
        <v>87880</v>
      </c>
      <c r="R9" s="82">
        <f t="shared" si="2"/>
        <v>87880</v>
      </c>
      <c r="S9" s="82">
        <f t="shared" si="3"/>
        <v>0</v>
      </c>
      <c r="T9" s="82">
        <f t="shared" si="4"/>
        <v>780</v>
      </c>
      <c r="U9" s="82">
        <f t="shared" si="5"/>
        <v>0</v>
      </c>
      <c r="V9" s="83">
        <f>IF(COUNTIFS(Roster!$B$5:$B$1504,$A9,Roster!$G$5:$G$1504,"&gt;0")=0,0,SUMIFS(Roster!$H$5:$H$1504,Roster!$B$5:$B$1504,$A9,Roster!$G$5:$G$1504,_xlfn.MAXIFS(Roster!$G$5:$G$1504,Roster!$B$5:$B$1504,$A9)))</f>
        <v>0</v>
      </c>
      <c r="W9" s="101" t="str">
        <f t="shared" si="6"/>
        <v>Filled</v>
      </c>
    </row>
    <row r="10" spans="1:23" x14ac:dyDescent="0.25">
      <c r="A10" s="76" t="s">
        <v>406</v>
      </c>
      <c r="B10" s="76" t="s">
        <v>353</v>
      </c>
      <c r="C10" s="76" t="s">
        <v>407</v>
      </c>
      <c r="D10" s="97">
        <v>1</v>
      </c>
      <c r="E10" s="98" t="s">
        <v>325</v>
      </c>
      <c r="F10" s="78">
        <v>56500</v>
      </c>
      <c r="G10" s="97">
        <v>1</v>
      </c>
      <c r="H10" s="98" t="s">
        <v>399</v>
      </c>
      <c r="J10" s="99">
        <f>1+Assumptions!$B$11+INDEX(Assumptions!$B$12:$B$15,D10)*Assumptions!$B$16</f>
        <v>1.3</v>
      </c>
      <c r="K10" s="82">
        <f t="shared" si="0"/>
        <v>73450</v>
      </c>
      <c r="L10" s="100">
        <f>IF(E10="Yes",MAX(0,Assumptions!$B$8-G10+1),0)</f>
        <v>8</v>
      </c>
      <c r="M10" s="82">
        <f t="shared" si="1"/>
        <v>48966.666666666664</v>
      </c>
      <c r="N10" s="100">
        <f>MIN(1,SUMIFS(Roster!$N$5:$N$1504,Roster!$B$5:$B$1504,$A10))</f>
        <v>1</v>
      </c>
      <c r="O10" s="100">
        <f>SUMIFS(Roster!$L$5:$L$1504,Roster!$B$5:$B$1504,$A10)</f>
        <v>8</v>
      </c>
      <c r="P10" s="83">
        <f>SUMIFS(Roster!$M$5:$M$1504,Roster!$B$5:$B$1504,$A10)*J10</f>
        <v>49313.333333333336</v>
      </c>
      <c r="Q10" s="83">
        <f>SUMIFS(Roster!$O$5:$O$1504,Roster!$B$5:$B$1504,$A10)*J10</f>
        <v>73970</v>
      </c>
      <c r="R10" s="82">
        <f t="shared" si="2"/>
        <v>73970</v>
      </c>
      <c r="S10" s="82">
        <f t="shared" si="3"/>
        <v>0</v>
      </c>
      <c r="T10" s="82">
        <f t="shared" si="4"/>
        <v>-346.66666666667152</v>
      </c>
      <c r="U10" s="82">
        <f t="shared" si="5"/>
        <v>0</v>
      </c>
      <c r="V10" s="83">
        <f>IF(COUNTIFS(Roster!$B$5:$B$1504,$A10,Roster!$G$5:$G$1504,"&gt;0")=0,0,SUMIFS(Roster!$H$5:$H$1504,Roster!$B$5:$B$1504,$A10,Roster!$G$5:$G$1504,_xlfn.MAXIFS(Roster!$G$5:$G$1504,Roster!$B$5:$B$1504,$A10)))</f>
        <v>0</v>
      </c>
      <c r="W10" s="101" t="str">
        <f t="shared" si="6"/>
        <v>Filled</v>
      </c>
    </row>
    <row r="11" spans="1:23" x14ac:dyDescent="0.25">
      <c r="A11" s="76" t="s">
        <v>408</v>
      </c>
      <c r="B11" s="76" t="s">
        <v>353</v>
      </c>
      <c r="C11" s="76" t="s">
        <v>401</v>
      </c>
      <c r="D11" s="97">
        <v>2</v>
      </c>
      <c r="E11" s="98" t="s">
        <v>325</v>
      </c>
      <c r="F11" s="78">
        <v>76000</v>
      </c>
      <c r="G11" s="97">
        <v>1</v>
      </c>
      <c r="H11" s="98" t="s">
        <v>399</v>
      </c>
      <c r="J11" s="99">
        <f>1+Assumptions!$B$11+INDEX(Assumptions!$B$12:$B$15,D11)*Assumptions!$B$16</f>
        <v>1.35</v>
      </c>
      <c r="K11" s="82">
        <f t="shared" si="0"/>
        <v>102600</v>
      </c>
      <c r="L11" s="100">
        <f>IF(E11="Yes",MAX(0,Assumptions!$B$8-G11+1),0)</f>
        <v>8</v>
      </c>
      <c r="M11" s="82">
        <f t="shared" si="1"/>
        <v>68400</v>
      </c>
      <c r="N11" s="100">
        <f>MIN(1,SUMIFS(Roster!$N$5:$N$1504,Roster!$B$5:$B$1504,$A11))</f>
        <v>1</v>
      </c>
      <c r="O11" s="100">
        <f>SUMIFS(Roster!$L$5:$L$1504,Roster!$B$5:$B$1504,$A11)</f>
        <v>8</v>
      </c>
      <c r="P11" s="83">
        <f>SUMIFS(Roster!$M$5:$M$1504,Roster!$B$5:$B$1504,$A11)*J11</f>
        <v>68580</v>
      </c>
      <c r="Q11" s="83">
        <f>SUMIFS(Roster!$O$5:$O$1504,Roster!$B$5:$B$1504,$A11)*J11</f>
        <v>102870</v>
      </c>
      <c r="R11" s="82">
        <f t="shared" si="2"/>
        <v>102870</v>
      </c>
      <c r="S11" s="82">
        <f t="shared" si="3"/>
        <v>0</v>
      </c>
      <c r="T11" s="82">
        <f t="shared" si="4"/>
        <v>-180</v>
      </c>
      <c r="U11" s="82">
        <f t="shared" si="5"/>
        <v>0</v>
      </c>
      <c r="V11" s="83">
        <f>IF(COUNTIFS(Roster!$B$5:$B$1504,$A11,Roster!$G$5:$G$1504,"&gt;0")=0,0,SUMIFS(Roster!$H$5:$H$1504,Roster!$B$5:$B$1504,$A11,Roster!$G$5:$G$1504,_xlfn.MAXIFS(Roster!$G$5:$G$1504,Roster!$B$5:$B$1504,$A11)))</f>
        <v>0</v>
      </c>
      <c r="W11" s="101" t="str">
        <f t="shared" si="6"/>
        <v>Filled</v>
      </c>
    </row>
    <row r="12" spans="1:23" x14ac:dyDescent="0.25">
      <c r="A12" s="76" t="s">
        <v>409</v>
      </c>
      <c r="B12" s="76" t="s">
        <v>353</v>
      </c>
      <c r="C12" s="76" t="s">
        <v>407</v>
      </c>
      <c r="D12" s="97">
        <v>1</v>
      </c>
      <c r="E12" s="98" t="s">
        <v>325</v>
      </c>
      <c r="F12" s="78">
        <v>53000</v>
      </c>
      <c r="G12" s="97">
        <v>1</v>
      </c>
      <c r="H12" s="98" t="s">
        <v>399</v>
      </c>
      <c r="J12" s="99">
        <f>1+Assumptions!$B$11+INDEX(Assumptions!$B$12:$B$15,D12)*Assumptions!$B$16</f>
        <v>1.3</v>
      </c>
      <c r="K12" s="82">
        <f t="shared" si="0"/>
        <v>68900</v>
      </c>
      <c r="L12" s="100">
        <f>IF(E12="Yes",MAX(0,Assumptions!$B$8-G12+1),0)</f>
        <v>8</v>
      </c>
      <c r="M12" s="82">
        <f t="shared" si="1"/>
        <v>45933.333333333336</v>
      </c>
      <c r="N12" s="100">
        <f>MIN(1,SUMIFS(Roster!$N$5:$N$1504,Roster!$B$5:$B$1504,$A12))</f>
        <v>1</v>
      </c>
      <c r="O12" s="100">
        <f>SUMIFS(Roster!$L$5:$L$1504,Roster!$B$5:$B$1504,$A12)</f>
        <v>8</v>
      </c>
      <c r="P12" s="83">
        <f>SUMIFS(Roster!$M$5:$M$1504,Roster!$B$5:$B$1504,$A12)*J12</f>
        <v>46366.666666666664</v>
      </c>
      <c r="Q12" s="83">
        <f>SUMIFS(Roster!$O$5:$O$1504,Roster!$B$5:$B$1504,$A12)*J12</f>
        <v>69550</v>
      </c>
      <c r="R12" s="82">
        <f t="shared" si="2"/>
        <v>69550</v>
      </c>
      <c r="S12" s="82">
        <f t="shared" si="3"/>
        <v>0</v>
      </c>
      <c r="T12" s="82">
        <f t="shared" si="4"/>
        <v>-433.33333333332848</v>
      </c>
      <c r="U12" s="82">
        <f t="shared" si="5"/>
        <v>0</v>
      </c>
      <c r="V12" s="83">
        <f>IF(COUNTIFS(Roster!$B$5:$B$1504,$A12,Roster!$G$5:$G$1504,"&gt;0")=0,0,SUMIFS(Roster!$H$5:$H$1504,Roster!$B$5:$B$1504,$A12,Roster!$G$5:$G$1504,_xlfn.MAXIFS(Roster!$G$5:$G$1504,Roster!$B$5:$B$1504,$A12)))</f>
        <v>0</v>
      </c>
      <c r="W12" s="101" t="str">
        <f t="shared" si="6"/>
        <v>Filled</v>
      </c>
    </row>
    <row r="13" spans="1:23" x14ac:dyDescent="0.25">
      <c r="A13" s="76" t="s">
        <v>410</v>
      </c>
      <c r="B13" s="76" t="s">
        <v>353</v>
      </c>
      <c r="C13" s="76" t="s">
        <v>401</v>
      </c>
      <c r="D13" s="97">
        <v>2</v>
      </c>
      <c r="E13" s="98" t="s">
        <v>325</v>
      </c>
      <c r="F13" s="78">
        <v>95500</v>
      </c>
      <c r="G13" s="97">
        <v>1</v>
      </c>
      <c r="H13" s="98" t="s">
        <v>399</v>
      </c>
      <c r="J13" s="99">
        <f>1+Assumptions!$B$11+INDEX(Assumptions!$B$12:$B$15,D13)*Assumptions!$B$16</f>
        <v>1.35</v>
      </c>
      <c r="K13" s="82">
        <f t="shared" si="0"/>
        <v>128925.00000000001</v>
      </c>
      <c r="L13" s="100">
        <f>IF(E13="Yes",MAX(0,Assumptions!$B$8-G13+1),0)</f>
        <v>8</v>
      </c>
      <c r="M13" s="82">
        <f t="shared" si="1"/>
        <v>85950.000000000015</v>
      </c>
      <c r="N13" s="100">
        <f>MIN(1,SUMIFS(Roster!$N$5:$N$1504,Roster!$B$5:$B$1504,$A13))</f>
        <v>1</v>
      </c>
      <c r="O13" s="100">
        <f>SUMIFS(Roster!$L$5:$L$1504,Roster!$B$5:$B$1504,$A13)</f>
        <v>8</v>
      </c>
      <c r="P13" s="83">
        <f>SUMIFS(Roster!$M$5:$M$1504,Roster!$B$5:$B$1504,$A13)*J13</f>
        <v>86490</v>
      </c>
      <c r="Q13" s="83">
        <f>SUMIFS(Roster!$O$5:$O$1504,Roster!$B$5:$B$1504,$A13)*J13</f>
        <v>129735.00000000001</v>
      </c>
      <c r="R13" s="82">
        <f t="shared" si="2"/>
        <v>129735.00000000001</v>
      </c>
      <c r="S13" s="82">
        <f t="shared" si="3"/>
        <v>0</v>
      </c>
      <c r="T13" s="82">
        <f t="shared" si="4"/>
        <v>-539.99999999998545</v>
      </c>
      <c r="U13" s="82">
        <f t="shared" si="5"/>
        <v>0</v>
      </c>
      <c r="V13" s="83">
        <f>IF(COUNTIFS(Roster!$B$5:$B$1504,$A13,Roster!$G$5:$G$1504,"&gt;0")=0,0,SUMIFS(Roster!$H$5:$H$1504,Roster!$B$5:$B$1504,$A13,Roster!$G$5:$G$1504,_xlfn.MAXIFS(Roster!$G$5:$G$1504,Roster!$B$5:$B$1504,$A13)))</f>
        <v>0</v>
      </c>
      <c r="W13" s="101" t="str">
        <f t="shared" si="6"/>
        <v>Filled</v>
      </c>
    </row>
    <row r="14" spans="1:23" x14ac:dyDescent="0.25">
      <c r="A14" s="76" t="s">
        <v>411</v>
      </c>
      <c r="B14" s="76" t="s">
        <v>353</v>
      </c>
      <c r="C14" s="76" t="s">
        <v>398</v>
      </c>
      <c r="D14" s="97">
        <v>3</v>
      </c>
      <c r="E14" s="98" t="s">
        <v>325</v>
      </c>
      <c r="F14" s="78">
        <v>112500</v>
      </c>
      <c r="G14" s="97">
        <v>1</v>
      </c>
      <c r="H14" s="98" t="s">
        <v>399</v>
      </c>
      <c r="J14" s="99">
        <f>1+Assumptions!$B$11+INDEX(Assumptions!$B$12:$B$15,D14)*Assumptions!$B$16</f>
        <v>1.4</v>
      </c>
      <c r="K14" s="82">
        <f t="shared" si="0"/>
        <v>157500</v>
      </c>
      <c r="L14" s="100">
        <f>IF(E14="Yes",MAX(0,Assumptions!$B$8-G14+1),0)</f>
        <v>8</v>
      </c>
      <c r="M14" s="82">
        <f t="shared" si="1"/>
        <v>105000</v>
      </c>
      <c r="N14" s="100">
        <f>MIN(1,SUMIFS(Roster!$N$5:$N$1504,Roster!$B$5:$B$1504,$A14))</f>
        <v>1</v>
      </c>
      <c r="O14" s="100">
        <f>SUMIFS(Roster!$L$5:$L$1504,Roster!$B$5:$B$1504,$A14)</f>
        <v>8</v>
      </c>
      <c r="P14" s="83">
        <f>SUMIFS(Roster!$M$5:$M$1504,Roster!$B$5:$B$1504,$A14)*J14</f>
        <v>103693.33333333333</v>
      </c>
      <c r="Q14" s="83">
        <f>SUMIFS(Roster!$O$5:$O$1504,Roster!$B$5:$B$1504,$A14)*J14</f>
        <v>155540</v>
      </c>
      <c r="R14" s="82">
        <f t="shared" si="2"/>
        <v>155540</v>
      </c>
      <c r="S14" s="82">
        <f t="shared" si="3"/>
        <v>0</v>
      </c>
      <c r="T14" s="82">
        <f t="shared" si="4"/>
        <v>1306.6666666666715</v>
      </c>
      <c r="U14" s="82">
        <f t="shared" si="5"/>
        <v>0</v>
      </c>
      <c r="V14" s="83">
        <f>IF(COUNTIFS(Roster!$B$5:$B$1504,$A14,Roster!$G$5:$G$1504,"&gt;0")=0,0,SUMIFS(Roster!$H$5:$H$1504,Roster!$B$5:$B$1504,$A14,Roster!$G$5:$G$1504,_xlfn.MAXIFS(Roster!$G$5:$G$1504,Roster!$B$5:$B$1504,$A14)))</f>
        <v>0</v>
      </c>
      <c r="W14" s="101" t="str">
        <f t="shared" si="6"/>
        <v>Filled</v>
      </c>
    </row>
    <row r="15" spans="1:23" x14ac:dyDescent="0.25">
      <c r="A15" s="76" t="s">
        <v>412</v>
      </c>
      <c r="B15" s="76" t="s">
        <v>353</v>
      </c>
      <c r="C15" s="76" t="s">
        <v>401</v>
      </c>
      <c r="D15" s="97">
        <v>2</v>
      </c>
      <c r="E15" s="98" t="s">
        <v>325</v>
      </c>
      <c r="F15" s="78">
        <v>93500</v>
      </c>
      <c r="G15" s="97">
        <v>1</v>
      </c>
      <c r="H15" s="98" t="s">
        <v>399</v>
      </c>
      <c r="J15" s="99">
        <f>1+Assumptions!$B$11+INDEX(Assumptions!$B$12:$B$15,D15)*Assumptions!$B$16</f>
        <v>1.35</v>
      </c>
      <c r="K15" s="82">
        <f t="shared" si="0"/>
        <v>126225.00000000001</v>
      </c>
      <c r="L15" s="100">
        <f>IF(E15="Yes",MAX(0,Assumptions!$B$8-G15+1),0)</f>
        <v>8</v>
      </c>
      <c r="M15" s="82">
        <f t="shared" si="1"/>
        <v>84150.000000000015</v>
      </c>
      <c r="N15" s="100">
        <f>MIN(1,SUMIFS(Roster!$N$5:$N$1504,Roster!$B$5:$B$1504,$A15))</f>
        <v>1</v>
      </c>
      <c r="O15" s="100">
        <f>SUMIFS(Roster!$L$5:$L$1504,Roster!$B$5:$B$1504,$A15)</f>
        <v>8</v>
      </c>
      <c r="P15" s="83">
        <f>SUMIFS(Roster!$M$5:$M$1504,Roster!$B$5:$B$1504,$A15)*J15</f>
        <v>84960.000000000015</v>
      </c>
      <c r="Q15" s="83">
        <f>SUMIFS(Roster!$O$5:$O$1504,Roster!$B$5:$B$1504,$A15)*J15</f>
        <v>127440.00000000001</v>
      </c>
      <c r="R15" s="82">
        <f t="shared" si="2"/>
        <v>127440.00000000001</v>
      </c>
      <c r="S15" s="82">
        <f t="shared" si="3"/>
        <v>0</v>
      </c>
      <c r="T15" s="82">
        <f t="shared" si="4"/>
        <v>-810</v>
      </c>
      <c r="U15" s="82">
        <f t="shared" si="5"/>
        <v>0</v>
      </c>
      <c r="V15" s="83">
        <f>IF(COUNTIFS(Roster!$B$5:$B$1504,$A15,Roster!$G$5:$G$1504,"&gt;0")=0,0,SUMIFS(Roster!$H$5:$H$1504,Roster!$B$5:$B$1504,$A15,Roster!$G$5:$G$1504,_xlfn.MAXIFS(Roster!$G$5:$G$1504,Roster!$B$5:$B$1504,$A15)))</f>
        <v>0</v>
      </c>
      <c r="W15" s="101" t="str">
        <f t="shared" si="6"/>
        <v>Filled</v>
      </c>
    </row>
    <row r="16" spans="1:23" x14ac:dyDescent="0.25">
      <c r="A16" s="76" t="s">
        <v>413</v>
      </c>
      <c r="B16" s="76" t="s">
        <v>353</v>
      </c>
      <c r="C16" s="76" t="s">
        <v>398</v>
      </c>
      <c r="D16" s="97">
        <v>3</v>
      </c>
      <c r="E16" s="98" t="s">
        <v>325</v>
      </c>
      <c r="F16" s="78">
        <v>100500</v>
      </c>
      <c r="G16" s="97">
        <v>1</v>
      </c>
      <c r="H16" s="98" t="s">
        <v>399</v>
      </c>
      <c r="J16" s="99">
        <f>1+Assumptions!$B$11+INDEX(Assumptions!$B$12:$B$15,D16)*Assumptions!$B$16</f>
        <v>1.4</v>
      </c>
      <c r="K16" s="82">
        <f t="shared" si="0"/>
        <v>140700</v>
      </c>
      <c r="L16" s="100">
        <f>IF(E16="Yes",MAX(0,Assumptions!$B$8-G16+1),0)</f>
        <v>8</v>
      </c>
      <c r="M16" s="82">
        <f t="shared" si="1"/>
        <v>93800</v>
      </c>
      <c r="N16" s="100">
        <f>MIN(1,SUMIFS(Roster!$N$5:$N$1504,Roster!$B$5:$B$1504,$A16))</f>
        <v>1</v>
      </c>
      <c r="O16" s="100">
        <f>SUMIFS(Roster!$L$5:$L$1504,Roster!$B$5:$B$1504,$A16)</f>
        <v>8</v>
      </c>
      <c r="P16" s="83">
        <f>SUMIFS(Roster!$M$5:$M$1504,Roster!$B$5:$B$1504,$A16)*J16</f>
        <v>94453.333333333328</v>
      </c>
      <c r="Q16" s="83">
        <f>SUMIFS(Roster!$O$5:$O$1504,Roster!$B$5:$B$1504,$A16)*J16</f>
        <v>141680</v>
      </c>
      <c r="R16" s="82">
        <f t="shared" si="2"/>
        <v>141680</v>
      </c>
      <c r="S16" s="82">
        <f t="shared" si="3"/>
        <v>0</v>
      </c>
      <c r="T16" s="82">
        <f t="shared" si="4"/>
        <v>-653.33333333332848</v>
      </c>
      <c r="U16" s="82">
        <f t="shared" si="5"/>
        <v>0</v>
      </c>
      <c r="V16" s="83">
        <f>IF(COUNTIFS(Roster!$B$5:$B$1504,$A16,Roster!$G$5:$G$1504,"&gt;0")=0,0,SUMIFS(Roster!$H$5:$H$1504,Roster!$B$5:$B$1504,$A16,Roster!$G$5:$G$1504,_xlfn.MAXIFS(Roster!$G$5:$G$1504,Roster!$B$5:$B$1504,$A16)))</f>
        <v>0</v>
      </c>
      <c r="W16" s="101" t="str">
        <f t="shared" si="6"/>
        <v>Filled</v>
      </c>
    </row>
    <row r="17" spans="1:23" x14ac:dyDescent="0.25">
      <c r="A17" s="76" t="s">
        <v>414</v>
      </c>
      <c r="B17" s="76" t="s">
        <v>353</v>
      </c>
      <c r="C17" s="76" t="s">
        <v>401</v>
      </c>
      <c r="D17" s="97">
        <v>2</v>
      </c>
      <c r="E17" s="98" t="s">
        <v>325</v>
      </c>
      <c r="F17" s="78">
        <v>74500</v>
      </c>
      <c r="G17" s="97">
        <v>1</v>
      </c>
      <c r="H17" s="98" t="s">
        <v>399</v>
      </c>
      <c r="J17" s="99">
        <f>1+Assumptions!$B$11+INDEX(Assumptions!$B$12:$B$15,D17)*Assumptions!$B$16</f>
        <v>1.35</v>
      </c>
      <c r="K17" s="82">
        <f t="shared" si="0"/>
        <v>100575</v>
      </c>
      <c r="L17" s="100">
        <f>IF(E17="Yes",MAX(0,Assumptions!$B$8-G17+1),0)</f>
        <v>8</v>
      </c>
      <c r="M17" s="82">
        <f t="shared" si="1"/>
        <v>67050</v>
      </c>
      <c r="N17" s="100">
        <f>MIN(1,SUMIFS(Roster!$N$5:$N$1504,Roster!$B$5:$B$1504,$A17))</f>
        <v>1</v>
      </c>
      <c r="O17" s="100">
        <f>SUMIFS(Roster!$L$5:$L$1504,Roster!$B$5:$B$1504,$A17)</f>
        <v>8</v>
      </c>
      <c r="P17" s="83">
        <f>SUMIFS(Roster!$M$5:$M$1504,Roster!$B$5:$B$1504,$A17)*J17</f>
        <v>66420</v>
      </c>
      <c r="Q17" s="83">
        <f>SUMIFS(Roster!$O$5:$O$1504,Roster!$B$5:$B$1504,$A17)*J17</f>
        <v>99630</v>
      </c>
      <c r="R17" s="82">
        <f t="shared" si="2"/>
        <v>99630</v>
      </c>
      <c r="S17" s="82">
        <f t="shared" si="3"/>
        <v>0</v>
      </c>
      <c r="T17" s="82">
        <f t="shared" si="4"/>
        <v>630</v>
      </c>
      <c r="U17" s="82">
        <f t="shared" si="5"/>
        <v>0</v>
      </c>
      <c r="V17" s="83">
        <f>IF(COUNTIFS(Roster!$B$5:$B$1504,$A17,Roster!$G$5:$G$1504,"&gt;0")=0,0,SUMIFS(Roster!$H$5:$H$1504,Roster!$B$5:$B$1504,$A17,Roster!$G$5:$G$1504,_xlfn.MAXIFS(Roster!$G$5:$G$1504,Roster!$B$5:$B$1504,$A17)))</f>
        <v>0</v>
      </c>
      <c r="W17" s="101" t="str">
        <f t="shared" si="6"/>
        <v>Filled</v>
      </c>
    </row>
    <row r="18" spans="1:23" x14ac:dyDescent="0.25">
      <c r="A18" s="76" t="s">
        <v>415</v>
      </c>
      <c r="B18" s="76" t="s">
        <v>353</v>
      </c>
      <c r="C18" s="76" t="s">
        <v>407</v>
      </c>
      <c r="D18" s="97">
        <v>1</v>
      </c>
      <c r="E18" s="98" t="s">
        <v>325</v>
      </c>
      <c r="F18" s="78">
        <v>52500</v>
      </c>
      <c r="G18" s="97">
        <v>1</v>
      </c>
      <c r="H18" s="98" t="s">
        <v>399</v>
      </c>
      <c r="J18" s="99">
        <f>1+Assumptions!$B$11+INDEX(Assumptions!$B$12:$B$15,D18)*Assumptions!$B$16</f>
        <v>1.3</v>
      </c>
      <c r="K18" s="82">
        <f t="shared" si="0"/>
        <v>68250</v>
      </c>
      <c r="L18" s="100">
        <f>IF(E18="Yes",MAX(0,Assumptions!$B$8-G18+1),0)</f>
        <v>8</v>
      </c>
      <c r="M18" s="82">
        <f t="shared" si="1"/>
        <v>45500</v>
      </c>
      <c r="N18" s="100">
        <f>MIN(1,SUMIFS(Roster!$N$5:$N$1504,Roster!$B$5:$B$1504,$A18))</f>
        <v>1</v>
      </c>
      <c r="O18" s="100">
        <f>SUMIFS(Roster!$L$5:$L$1504,Roster!$B$5:$B$1504,$A18)</f>
        <v>8</v>
      </c>
      <c r="P18" s="83">
        <f>SUMIFS(Roster!$M$5:$M$1504,Roster!$B$5:$B$1504,$A18)*J18</f>
        <v>46106.666666666664</v>
      </c>
      <c r="Q18" s="83">
        <f>SUMIFS(Roster!$O$5:$O$1504,Roster!$B$5:$B$1504,$A18)*J18</f>
        <v>69160</v>
      </c>
      <c r="R18" s="82">
        <f t="shared" si="2"/>
        <v>69160</v>
      </c>
      <c r="S18" s="82">
        <f t="shared" si="3"/>
        <v>0</v>
      </c>
      <c r="T18" s="82">
        <f t="shared" si="4"/>
        <v>-606.66666666666424</v>
      </c>
      <c r="U18" s="82">
        <f t="shared" si="5"/>
        <v>0</v>
      </c>
      <c r="V18" s="83">
        <f>IF(COUNTIFS(Roster!$B$5:$B$1504,$A18,Roster!$G$5:$G$1504,"&gt;0")=0,0,SUMIFS(Roster!$H$5:$H$1504,Roster!$B$5:$B$1504,$A18,Roster!$G$5:$G$1504,_xlfn.MAXIFS(Roster!$G$5:$G$1504,Roster!$B$5:$B$1504,$A18)))</f>
        <v>0</v>
      </c>
      <c r="W18" s="101" t="str">
        <f t="shared" si="6"/>
        <v>Filled</v>
      </c>
    </row>
    <row r="19" spans="1:23" x14ac:dyDescent="0.25">
      <c r="A19" s="76" t="s">
        <v>416</v>
      </c>
      <c r="B19" s="76" t="s">
        <v>353</v>
      </c>
      <c r="C19" s="76" t="s">
        <v>401</v>
      </c>
      <c r="D19" s="97">
        <v>2</v>
      </c>
      <c r="E19" s="98" t="s">
        <v>325</v>
      </c>
      <c r="F19" s="78">
        <v>87000</v>
      </c>
      <c r="G19" s="97">
        <v>1</v>
      </c>
      <c r="H19" s="98" t="s">
        <v>399</v>
      </c>
      <c r="J19" s="99">
        <f>1+Assumptions!$B$11+INDEX(Assumptions!$B$12:$B$15,D19)*Assumptions!$B$16</f>
        <v>1.35</v>
      </c>
      <c r="K19" s="82">
        <f t="shared" si="0"/>
        <v>117450.00000000001</v>
      </c>
      <c r="L19" s="100">
        <f>IF(E19="Yes",MAX(0,Assumptions!$B$8-G19+1),0)</f>
        <v>8</v>
      </c>
      <c r="M19" s="82">
        <f t="shared" si="1"/>
        <v>78300.000000000015</v>
      </c>
      <c r="N19" s="100">
        <f>MIN(1,SUMIFS(Roster!$N$5:$N$1504,Roster!$B$5:$B$1504,$A19))</f>
        <v>1</v>
      </c>
      <c r="O19" s="100">
        <f>SUMIFS(Roster!$L$5:$L$1504,Roster!$B$5:$B$1504,$A19)</f>
        <v>8</v>
      </c>
      <c r="P19" s="83">
        <f>SUMIFS(Roster!$M$5:$M$1504,Roster!$B$5:$B$1504,$A19)*J19</f>
        <v>79380</v>
      </c>
      <c r="Q19" s="83">
        <f>SUMIFS(Roster!$O$5:$O$1504,Roster!$B$5:$B$1504,$A19)*J19</f>
        <v>119070.00000000001</v>
      </c>
      <c r="R19" s="82">
        <f t="shared" si="2"/>
        <v>119070.00000000001</v>
      </c>
      <c r="S19" s="82">
        <f t="shared" si="3"/>
        <v>0</v>
      </c>
      <c r="T19" s="82">
        <f t="shared" si="4"/>
        <v>-1079.9999999999854</v>
      </c>
      <c r="U19" s="82">
        <f t="shared" si="5"/>
        <v>0</v>
      </c>
      <c r="V19" s="83">
        <f>IF(COUNTIFS(Roster!$B$5:$B$1504,$A19,Roster!$G$5:$G$1504,"&gt;0")=0,0,SUMIFS(Roster!$H$5:$H$1504,Roster!$B$5:$B$1504,$A19,Roster!$G$5:$G$1504,_xlfn.MAXIFS(Roster!$G$5:$G$1504,Roster!$B$5:$B$1504,$A19)))</f>
        <v>0</v>
      </c>
      <c r="W19" s="101" t="str">
        <f t="shared" si="6"/>
        <v>Filled</v>
      </c>
    </row>
    <row r="20" spans="1:23" x14ac:dyDescent="0.25">
      <c r="A20" s="76" t="s">
        <v>417</v>
      </c>
      <c r="B20" s="76" t="s">
        <v>353</v>
      </c>
      <c r="C20" s="76" t="s">
        <v>398</v>
      </c>
      <c r="D20" s="97">
        <v>3</v>
      </c>
      <c r="E20" s="98" t="s">
        <v>325</v>
      </c>
      <c r="F20" s="78">
        <v>109500</v>
      </c>
      <c r="G20" s="97">
        <v>1</v>
      </c>
      <c r="H20" s="98" t="s">
        <v>399</v>
      </c>
      <c r="J20" s="99">
        <f>1+Assumptions!$B$11+INDEX(Assumptions!$B$12:$B$15,D20)*Assumptions!$B$16</f>
        <v>1.4</v>
      </c>
      <c r="K20" s="82">
        <f t="shared" si="0"/>
        <v>153300</v>
      </c>
      <c r="L20" s="100">
        <f>IF(E20="Yes",MAX(0,Assumptions!$B$8-G20+1),0)</f>
        <v>8</v>
      </c>
      <c r="M20" s="82">
        <f t="shared" si="1"/>
        <v>102200</v>
      </c>
      <c r="N20" s="100">
        <f>MIN(1,SUMIFS(Roster!$N$5:$N$1504,Roster!$B$5:$B$1504,$A20))</f>
        <v>1</v>
      </c>
      <c r="O20" s="100">
        <f>SUMIFS(Roster!$L$5:$L$1504,Roster!$B$5:$B$1504,$A20)</f>
        <v>8</v>
      </c>
      <c r="P20" s="83">
        <f>SUMIFS(Roster!$M$5:$M$1504,Roster!$B$5:$B$1504,$A20)*J20</f>
        <v>101733.33333333333</v>
      </c>
      <c r="Q20" s="83">
        <f>SUMIFS(Roster!$O$5:$O$1504,Roster!$B$5:$B$1504,$A20)*J20</f>
        <v>152600</v>
      </c>
      <c r="R20" s="82">
        <f t="shared" si="2"/>
        <v>152600</v>
      </c>
      <c r="S20" s="82">
        <f t="shared" si="3"/>
        <v>0</v>
      </c>
      <c r="T20" s="82">
        <f t="shared" si="4"/>
        <v>466.66666666667152</v>
      </c>
      <c r="U20" s="82">
        <f t="shared" si="5"/>
        <v>0</v>
      </c>
      <c r="V20" s="83">
        <f>IF(COUNTIFS(Roster!$B$5:$B$1504,$A20,Roster!$G$5:$G$1504,"&gt;0")=0,0,SUMIFS(Roster!$H$5:$H$1504,Roster!$B$5:$B$1504,$A20,Roster!$G$5:$G$1504,_xlfn.MAXIFS(Roster!$G$5:$G$1504,Roster!$B$5:$B$1504,$A20)))</f>
        <v>0</v>
      </c>
      <c r="W20" s="101" t="str">
        <f t="shared" si="6"/>
        <v>Filled</v>
      </c>
    </row>
    <row r="21" spans="1:23" x14ac:dyDescent="0.25">
      <c r="A21" s="76" t="s">
        <v>418</v>
      </c>
      <c r="B21" s="76" t="s">
        <v>353</v>
      </c>
      <c r="C21" s="76" t="s">
        <v>401</v>
      </c>
      <c r="D21" s="97">
        <v>2</v>
      </c>
      <c r="E21" s="98" t="s">
        <v>325</v>
      </c>
      <c r="F21" s="78">
        <v>73000</v>
      </c>
      <c r="G21" s="97">
        <v>1</v>
      </c>
      <c r="H21" s="98" t="s">
        <v>399</v>
      </c>
      <c r="J21" s="99">
        <f>1+Assumptions!$B$11+INDEX(Assumptions!$B$12:$B$15,D21)*Assumptions!$B$16</f>
        <v>1.35</v>
      </c>
      <c r="K21" s="82">
        <f t="shared" si="0"/>
        <v>98550</v>
      </c>
      <c r="L21" s="100">
        <f>IF(E21="Yes",MAX(0,Assumptions!$B$8-G21+1),0)</f>
        <v>8</v>
      </c>
      <c r="M21" s="82">
        <f t="shared" si="1"/>
        <v>65700</v>
      </c>
      <c r="N21" s="100">
        <f>MIN(1,SUMIFS(Roster!$N$5:$N$1504,Roster!$B$5:$B$1504,$A21))</f>
        <v>1</v>
      </c>
      <c r="O21" s="100">
        <f>SUMIFS(Roster!$L$5:$L$1504,Roster!$B$5:$B$1504,$A21)</f>
        <v>8</v>
      </c>
      <c r="P21" s="83">
        <f>SUMIFS(Roster!$M$5:$M$1504,Roster!$B$5:$B$1504,$A21)*J21</f>
        <v>66330.000000000015</v>
      </c>
      <c r="Q21" s="83">
        <f>SUMIFS(Roster!$O$5:$O$1504,Roster!$B$5:$B$1504,$A21)*J21</f>
        <v>99495</v>
      </c>
      <c r="R21" s="82">
        <f t="shared" si="2"/>
        <v>99495</v>
      </c>
      <c r="S21" s="82">
        <f t="shared" si="3"/>
        <v>0</v>
      </c>
      <c r="T21" s="82">
        <f t="shared" si="4"/>
        <v>-630.00000000001455</v>
      </c>
      <c r="U21" s="82">
        <f t="shared" si="5"/>
        <v>0</v>
      </c>
      <c r="V21" s="83">
        <f>IF(COUNTIFS(Roster!$B$5:$B$1504,$A21,Roster!$G$5:$G$1504,"&gt;0")=0,0,SUMIFS(Roster!$H$5:$H$1504,Roster!$B$5:$B$1504,$A21,Roster!$G$5:$G$1504,_xlfn.MAXIFS(Roster!$G$5:$G$1504,Roster!$B$5:$B$1504,$A21)))</f>
        <v>0</v>
      </c>
      <c r="W21" s="101" t="str">
        <f t="shared" si="6"/>
        <v>Filled</v>
      </c>
    </row>
    <row r="22" spans="1:23" x14ac:dyDescent="0.25">
      <c r="A22" s="76" t="s">
        <v>419</v>
      </c>
      <c r="B22" s="76" t="s">
        <v>353</v>
      </c>
      <c r="C22" s="76" t="s">
        <v>407</v>
      </c>
      <c r="D22" s="97">
        <v>1</v>
      </c>
      <c r="E22" s="98" t="s">
        <v>325</v>
      </c>
      <c r="F22" s="78">
        <v>69000</v>
      </c>
      <c r="G22" s="97">
        <v>1</v>
      </c>
      <c r="H22" s="98" t="s">
        <v>399</v>
      </c>
      <c r="J22" s="99">
        <f>1+Assumptions!$B$11+INDEX(Assumptions!$B$12:$B$15,D22)*Assumptions!$B$16</f>
        <v>1.3</v>
      </c>
      <c r="K22" s="82">
        <f t="shared" si="0"/>
        <v>89700</v>
      </c>
      <c r="L22" s="100">
        <f>IF(E22="Yes",MAX(0,Assumptions!$B$8-G22+1),0)</f>
        <v>8</v>
      </c>
      <c r="M22" s="82">
        <f t="shared" si="1"/>
        <v>59800</v>
      </c>
      <c r="N22" s="100">
        <f>MIN(1,SUMIFS(Roster!$N$5:$N$1504,Roster!$B$5:$B$1504,$A22))</f>
        <v>1</v>
      </c>
      <c r="O22" s="100">
        <f>SUMIFS(Roster!$L$5:$L$1504,Roster!$B$5:$B$1504,$A22)</f>
        <v>8</v>
      </c>
      <c r="P22" s="83">
        <f>SUMIFS(Roster!$M$5:$M$1504,Roster!$B$5:$B$1504,$A22)*J22</f>
        <v>60146.666666666664</v>
      </c>
      <c r="Q22" s="83">
        <f>SUMIFS(Roster!$O$5:$O$1504,Roster!$B$5:$B$1504,$A22)*J22</f>
        <v>90220</v>
      </c>
      <c r="R22" s="82">
        <f t="shared" si="2"/>
        <v>90220</v>
      </c>
      <c r="S22" s="82">
        <f t="shared" si="3"/>
        <v>0</v>
      </c>
      <c r="T22" s="82">
        <f t="shared" si="4"/>
        <v>-346.66666666666424</v>
      </c>
      <c r="U22" s="82">
        <f t="shared" si="5"/>
        <v>0</v>
      </c>
      <c r="V22" s="83">
        <f>IF(COUNTIFS(Roster!$B$5:$B$1504,$A22,Roster!$G$5:$G$1504,"&gt;0")=0,0,SUMIFS(Roster!$H$5:$H$1504,Roster!$B$5:$B$1504,$A22,Roster!$G$5:$G$1504,_xlfn.MAXIFS(Roster!$G$5:$G$1504,Roster!$B$5:$B$1504,$A22)))</f>
        <v>0</v>
      </c>
      <c r="W22" s="101" t="str">
        <f t="shared" si="6"/>
        <v>Filled</v>
      </c>
    </row>
    <row r="23" spans="1:23" x14ac:dyDescent="0.25">
      <c r="A23" s="76" t="s">
        <v>420</v>
      </c>
      <c r="B23" s="76" t="s">
        <v>353</v>
      </c>
      <c r="C23" s="76" t="s">
        <v>407</v>
      </c>
      <c r="D23" s="97">
        <v>1</v>
      </c>
      <c r="E23" s="98" t="s">
        <v>325</v>
      </c>
      <c r="F23" s="78">
        <v>63500</v>
      </c>
      <c r="G23" s="97">
        <v>1</v>
      </c>
      <c r="H23" s="98" t="s">
        <v>399</v>
      </c>
      <c r="J23" s="99">
        <f>1+Assumptions!$B$11+INDEX(Assumptions!$B$12:$B$15,D23)*Assumptions!$B$16</f>
        <v>1.3</v>
      </c>
      <c r="K23" s="82">
        <f t="shared" si="0"/>
        <v>82550</v>
      </c>
      <c r="L23" s="100">
        <f>IF(E23="Yes",MAX(0,Assumptions!$B$8-G23+1),0)</f>
        <v>8</v>
      </c>
      <c r="M23" s="82">
        <f t="shared" si="1"/>
        <v>55033.333333333336</v>
      </c>
      <c r="N23" s="100">
        <f>MIN(1,SUMIFS(Roster!$N$5:$N$1504,Roster!$B$5:$B$1504,$A23))</f>
        <v>1</v>
      </c>
      <c r="O23" s="100">
        <f>SUMIFS(Roster!$L$5:$L$1504,Roster!$B$5:$B$1504,$A23)</f>
        <v>8</v>
      </c>
      <c r="P23" s="83">
        <f>SUMIFS(Roster!$M$5:$M$1504,Roster!$B$5:$B$1504,$A23)*J23</f>
        <v>55553.333333333336</v>
      </c>
      <c r="Q23" s="83">
        <f>SUMIFS(Roster!$O$5:$O$1504,Roster!$B$5:$B$1504,$A23)*J23</f>
        <v>83330</v>
      </c>
      <c r="R23" s="82">
        <f t="shared" si="2"/>
        <v>83330</v>
      </c>
      <c r="S23" s="82">
        <f t="shared" si="3"/>
        <v>0</v>
      </c>
      <c r="T23" s="82">
        <f t="shared" si="4"/>
        <v>-520</v>
      </c>
      <c r="U23" s="82">
        <f t="shared" si="5"/>
        <v>0</v>
      </c>
      <c r="V23" s="83">
        <f>IF(COUNTIFS(Roster!$B$5:$B$1504,$A23,Roster!$G$5:$G$1504,"&gt;0")=0,0,SUMIFS(Roster!$H$5:$H$1504,Roster!$B$5:$B$1504,$A23,Roster!$G$5:$G$1504,_xlfn.MAXIFS(Roster!$G$5:$G$1504,Roster!$B$5:$B$1504,$A23)))</f>
        <v>0</v>
      </c>
      <c r="W23" s="101" t="str">
        <f t="shared" si="6"/>
        <v>Filled</v>
      </c>
    </row>
    <row r="24" spans="1:23" x14ac:dyDescent="0.25">
      <c r="A24" s="76" t="s">
        <v>421</v>
      </c>
      <c r="B24" s="76" t="s">
        <v>353</v>
      </c>
      <c r="C24" s="76" t="s">
        <v>405</v>
      </c>
      <c r="D24" s="97">
        <v>1</v>
      </c>
      <c r="E24" s="98" t="s">
        <v>325</v>
      </c>
      <c r="F24" s="78">
        <v>67000</v>
      </c>
      <c r="G24" s="97">
        <v>1</v>
      </c>
      <c r="H24" s="98" t="s">
        <v>399</v>
      </c>
      <c r="J24" s="99">
        <f>1+Assumptions!$B$11+INDEX(Assumptions!$B$12:$B$15,D24)*Assumptions!$B$16</f>
        <v>1.3</v>
      </c>
      <c r="K24" s="82">
        <f t="shared" si="0"/>
        <v>87100</v>
      </c>
      <c r="L24" s="100">
        <f>IF(E24="Yes",MAX(0,Assumptions!$B$8-G24+1),0)</f>
        <v>8</v>
      </c>
      <c r="M24" s="82">
        <f t="shared" si="1"/>
        <v>58066.666666666664</v>
      </c>
      <c r="N24" s="100">
        <f>MIN(1,SUMIFS(Roster!$N$5:$N$1504,Roster!$B$5:$B$1504,$A24))</f>
        <v>1</v>
      </c>
      <c r="O24" s="100">
        <f>SUMIFS(Roster!$L$5:$L$1504,Roster!$B$5:$B$1504,$A24)</f>
        <v>8</v>
      </c>
      <c r="P24" s="83">
        <f>SUMIFS(Roster!$M$5:$M$1504,Roster!$B$5:$B$1504,$A24)*J24</f>
        <v>58760</v>
      </c>
      <c r="Q24" s="83">
        <f>SUMIFS(Roster!$O$5:$O$1504,Roster!$B$5:$B$1504,$A24)*J24</f>
        <v>88140</v>
      </c>
      <c r="R24" s="82">
        <f t="shared" si="2"/>
        <v>88140</v>
      </c>
      <c r="S24" s="82">
        <f t="shared" si="3"/>
        <v>0</v>
      </c>
      <c r="T24" s="82">
        <f t="shared" si="4"/>
        <v>-693.33333333333576</v>
      </c>
      <c r="U24" s="82">
        <f t="shared" si="5"/>
        <v>0</v>
      </c>
      <c r="V24" s="83">
        <f>IF(COUNTIFS(Roster!$B$5:$B$1504,$A24,Roster!$G$5:$G$1504,"&gt;0")=0,0,SUMIFS(Roster!$H$5:$H$1504,Roster!$B$5:$B$1504,$A24,Roster!$G$5:$G$1504,_xlfn.MAXIFS(Roster!$G$5:$G$1504,Roster!$B$5:$B$1504,$A24)))</f>
        <v>0</v>
      </c>
      <c r="W24" s="101" t="str">
        <f t="shared" si="6"/>
        <v>Filled</v>
      </c>
    </row>
    <row r="25" spans="1:23" x14ac:dyDescent="0.25">
      <c r="A25" s="76" t="s">
        <v>422</v>
      </c>
      <c r="B25" s="76" t="s">
        <v>353</v>
      </c>
      <c r="C25" s="76" t="s">
        <v>405</v>
      </c>
      <c r="D25" s="97">
        <v>1</v>
      </c>
      <c r="E25" s="98" t="s">
        <v>325</v>
      </c>
      <c r="F25" s="78">
        <v>69500</v>
      </c>
      <c r="G25" s="97">
        <v>1</v>
      </c>
      <c r="H25" s="98" t="s">
        <v>399</v>
      </c>
      <c r="J25" s="99">
        <f>1+Assumptions!$B$11+INDEX(Assumptions!$B$12:$B$15,D25)*Assumptions!$B$16</f>
        <v>1.3</v>
      </c>
      <c r="K25" s="82">
        <f t="shared" si="0"/>
        <v>90350</v>
      </c>
      <c r="L25" s="100">
        <f>IF(E25="Yes",MAX(0,Assumptions!$B$8-G25+1),0)</f>
        <v>8</v>
      </c>
      <c r="M25" s="82">
        <f t="shared" si="1"/>
        <v>60233.333333333336</v>
      </c>
      <c r="N25" s="100">
        <f>MIN(1,SUMIFS(Roster!$N$5:$N$1504,Roster!$B$5:$B$1504,$A25))</f>
        <v>1</v>
      </c>
      <c r="O25" s="100">
        <f>SUMIFS(Roster!$L$5:$L$1504,Roster!$B$5:$B$1504,$A25)</f>
        <v>8</v>
      </c>
      <c r="P25" s="83">
        <f>SUMIFS(Roster!$M$5:$M$1504,Roster!$B$5:$B$1504,$A25)*J25</f>
        <v>60146.666666666664</v>
      </c>
      <c r="Q25" s="83">
        <f>SUMIFS(Roster!$O$5:$O$1504,Roster!$B$5:$B$1504,$A25)*J25</f>
        <v>90220</v>
      </c>
      <c r="R25" s="82">
        <f t="shared" si="2"/>
        <v>90220</v>
      </c>
      <c r="S25" s="82">
        <f t="shared" si="3"/>
        <v>0</v>
      </c>
      <c r="T25" s="82">
        <f t="shared" si="4"/>
        <v>86.666666666671517</v>
      </c>
      <c r="U25" s="82">
        <f t="shared" si="5"/>
        <v>0</v>
      </c>
      <c r="V25" s="83">
        <f>IF(COUNTIFS(Roster!$B$5:$B$1504,$A25,Roster!$G$5:$G$1504,"&gt;0")=0,0,SUMIFS(Roster!$H$5:$H$1504,Roster!$B$5:$B$1504,$A25,Roster!$G$5:$G$1504,_xlfn.MAXIFS(Roster!$G$5:$G$1504,Roster!$B$5:$B$1504,$A25)))</f>
        <v>0</v>
      </c>
      <c r="W25" s="101" t="str">
        <f t="shared" si="6"/>
        <v>Filled</v>
      </c>
    </row>
    <row r="26" spans="1:23" x14ac:dyDescent="0.25">
      <c r="A26" s="76" t="s">
        <v>423</v>
      </c>
      <c r="B26" s="76" t="s">
        <v>353</v>
      </c>
      <c r="C26" s="76" t="s">
        <v>398</v>
      </c>
      <c r="D26" s="97">
        <v>3</v>
      </c>
      <c r="E26" s="98" t="s">
        <v>325</v>
      </c>
      <c r="F26" s="78">
        <v>100500</v>
      </c>
      <c r="G26" s="97">
        <v>1</v>
      </c>
      <c r="H26" s="98" t="s">
        <v>399</v>
      </c>
      <c r="J26" s="99">
        <f>1+Assumptions!$B$11+INDEX(Assumptions!$B$12:$B$15,D26)*Assumptions!$B$16</f>
        <v>1.4</v>
      </c>
      <c r="K26" s="82">
        <f t="shared" si="0"/>
        <v>140700</v>
      </c>
      <c r="L26" s="100">
        <f>IF(E26="Yes",MAX(0,Assumptions!$B$8-G26+1),0)</f>
        <v>8</v>
      </c>
      <c r="M26" s="82">
        <f t="shared" si="1"/>
        <v>93800</v>
      </c>
      <c r="N26" s="100">
        <f>MIN(1,SUMIFS(Roster!$N$5:$N$1504,Roster!$B$5:$B$1504,$A26))</f>
        <v>1</v>
      </c>
      <c r="O26" s="100">
        <f>SUMIFS(Roster!$L$5:$L$1504,Roster!$B$5:$B$1504,$A26)</f>
        <v>8</v>
      </c>
      <c r="P26" s="83">
        <f>SUMIFS(Roster!$M$5:$M$1504,Roster!$B$5:$B$1504,$A26)*J26</f>
        <v>95200</v>
      </c>
      <c r="Q26" s="83">
        <f>SUMIFS(Roster!$O$5:$O$1504,Roster!$B$5:$B$1504,$A26)*J26</f>
        <v>142800</v>
      </c>
      <c r="R26" s="82">
        <f t="shared" si="2"/>
        <v>142800</v>
      </c>
      <c r="S26" s="82">
        <f t="shared" si="3"/>
        <v>0</v>
      </c>
      <c r="T26" s="82">
        <f t="shared" si="4"/>
        <v>-1400</v>
      </c>
      <c r="U26" s="82">
        <f t="shared" si="5"/>
        <v>0</v>
      </c>
      <c r="V26" s="83">
        <f>IF(COUNTIFS(Roster!$B$5:$B$1504,$A26,Roster!$G$5:$G$1504,"&gt;0")=0,0,SUMIFS(Roster!$H$5:$H$1504,Roster!$B$5:$B$1504,$A26,Roster!$G$5:$G$1504,_xlfn.MAXIFS(Roster!$G$5:$G$1504,Roster!$B$5:$B$1504,$A26)))</f>
        <v>0</v>
      </c>
      <c r="W26" s="101" t="str">
        <f t="shared" si="6"/>
        <v>Filled</v>
      </c>
    </row>
    <row r="27" spans="1:23" x14ac:dyDescent="0.25">
      <c r="A27" s="76" t="s">
        <v>424</v>
      </c>
      <c r="B27" s="76" t="s">
        <v>353</v>
      </c>
      <c r="C27" s="76" t="s">
        <v>401</v>
      </c>
      <c r="D27" s="97">
        <v>2</v>
      </c>
      <c r="E27" s="98" t="s">
        <v>325</v>
      </c>
      <c r="F27" s="78">
        <v>73500</v>
      </c>
      <c r="G27" s="97">
        <v>1</v>
      </c>
      <c r="H27" s="98" t="s">
        <v>399</v>
      </c>
      <c r="J27" s="99">
        <f>1+Assumptions!$B$11+INDEX(Assumptions!$B$12:$B$15,D27)*Assumptions!$B$16</f>
        <v>1.35</v>
      </c>
      <c r="K27" s="82">
        <f t="shared" si="0"/>
        <v>99225</v>
      </c>
      <c r="L27" s="100">
        <f>IF(E27="Yes",MAX(0,Assumptions!$B$8-G27+1),0)</f>
        <v>8</v>
      </c>
      <c r="M27" s="82">
        <f t="shared" si="1"/>
        <v>66150</v>
      </c>
      <c r="N27" s="100">
        <f>MIN(1,SUMIFS(Roster!$N$5:$N$1504,Roster!$B$5:$B$1504,$A27))</f>
        <v>1</v>
      </c>
      <c r="O27" s="100">
        <f>SUMIFS(Roster!$L$5:$L$1504,Roster!$B$5:$B$1504,$A27)</f>
        <v>8</v>
      </c>
      <c r="P27" s="83">
        <f>SUMIFS(Roster!$M$5:$M$1504,Roster!$B$5:$B$1504,$A27)*J27</f>
        <v>65430</v>
      </c>
      <c r="Q27" s="83">
        <f>SUMIFS(Roster!$O$5:$O$1504,Roster!$B$5:$B$1504,$A27)*J27</f>
        <v>98145</v>
      </c>
      <c r="R27" s="82">
        <f t="shared" si="2"/>
        <v>98145</v>
      </c>
      <c r="S27" s="82">
        <f t="shared" si="3"/>
        <v>0</v>
      </c>
      <c r="T27" s="82">
        <f t="shared" si="4"/>
        <v>720</v>
      </c>
      <c r="U27" s="82">
        <f t="shared" si="5"/>
        <v>0</v>
      </c>
      <c r="V27" s="83">
        <f>IF(COUNTIFS(Roster!$B$5:$B$1504,$A27,Roster!$G$5:$G$1504,"&gt;0")=0,0,SUMIFS(Roster!$H$5:$H$1504,Roster!$B$5:$B$1504,$A27,Roster!$G$5:$G$1504,_xlfn.MAXIFS(Roster!$G$5:$G$1504,Roster!$B$5:$B$1504,$A27)))</f>
        <v>0</v>
      </c>
      <c r="W27" s="101" t="str">
        <f t="shared" si="6"/>
        <v>Filled</v>
      </c>
    </row>
    <row r="28" spans="1:23" x14ac:dyDescent="0.25">
      <c r="A28" s="76" t="s">
        <v>425</v>
      </c>
      <c r="B28" s="76" t="s">
        <v>353</v>
      </c>
      <c r="C28" s="76" t="s">
        <v>398</v>
      </c>
      <c r="D28" s="97">
        <v>3</v>
      </c>
      <c r="E28" s="98" t="s">
        <v>325</v>
      </c>
      <c r="F28" s="78">
        <v>113500</v>
      </c>
      <c r="G28" s="97">
        <v>1</v>
      </c>
      <c r="H28" s="98" t="s">
        <v>399</v>
      </c>
      <c r="J28" s="99">
        <f>1+Assumptions!$B$11+INDEX(Assumptions!$B$12:$B$15,D28)*Assumptions!$B$16</f>
        <v>1.4</v>
      </c>
      <c r="K28" s="82">
        <f t="shared" si="0"/>
        <v>158900</v>
      </c>
      <c r="L28" s="100">
        <f>IF(E28="Yes",MAX(0,Assumptions!$B$8-G28+1),0)</f>
        <v>8</v>
      </c>
      <c r="M28" s="82">
        <f t="shared" si="1"/>
        <v>105933.33333333333</v>
      </c>
      <c r="N28" s="100">
        <f>MIN(1,SUMIFS(Roster!$N$5:$N$1504,Roster!$B$5:$B$1504,$A28))</f>
        <v>1</v>
      </c>
      <c r="O28" s="100">
        <f>SUMIFS(Roster!$L$5:$L$1504,Roster!$B$5:$B$1504,$A28)</f>
        <v>8</v>
      </c>
      <c r="P28" s="83">
        <f>SUMIFS(Roster!$M$5:$M$1504,Roster!$B$5:$B$1504,$A28)*J28</f>
        <v>105000</v>
      </c>
      <c r="Q28" s="83">
        <f>SUMIFS(Roster!$O$5:$O$1504,Roster!$B$5:$B$1504,$A28)*J28</f>
        <v>157500</v>
      </c>
      <c r="R28" s="82">
        <f t="shared" si="2"/>
        <v>157500</v>
      </c>
      <c r="S28" s="82">
        <f t="shared" si="3"/>
        <v>0</v>
      </c>
      <c r="T28" s="82">
        <f t="shared" si="4"/>
        <v>933.33333333332848</v>
      </c>
      <c r="U28" s="82">
        <f t="shared" si="5"/>
        <v>0</v>
      </c>
      <c r="V28" s="83">
        <f>IF(COUNTIFS(Roster!$B$5:$B$1504,$A28,Roster!$G$5:$G$1504,"&gt;0")=0,0,SUMIFS(Roster!$H$5:$H$1504,Roster!$B$5:$B$1504,$A28,Roster!$G$5:$G$1504,_xlfn.MAXIFS(Roster!$G$5:$G$1504,Roster!$B$5:$B$1504,$A28)))</f>
        <v>0</v>
      </c>
      <c r="W28" s="101" t="str">
        <f t="shared" si="6"/>
        <v>Filled</v>
      </c>
    </row>
    <row r="29" spans="1:23" x14ac:dyDescent="0.25">
      <c r="A29" s="76" t="s">
        <v>426</v>
      </c>
      <c r="B29" s="76" t="s">
        <v>353</v>
      </c>
      <c r="C29" s="76" t="s">
        <v>407</v>
      </c>
      <c r="D29" s="97">
        <v>1</v>
      </c>
      <c r="E29" s="98" t="s">
        <v>325</v>
      </c>
      <c r="F29" s="78">
        <v>57500</v>
      </c>
      <c r="G29" s="97">
        <v>1</v>
      </c>
      <c r="H29" s="98" t="s">
        <v>399</v>
      </c>
      <c r="J29" s="99">
        <f>1+Assumptions!$B$11+INDEX(Assumptions!$B$12:$B$15,D29)*Assumptions!$B$16</f>
        <v>1.3</v>
      </c>
      <c r="K29" s="82">
        <f t="shared" si="0"/>
        <v>74750</v>
      </c>
      <c r="L29" s="100">
        <f>IF(E29="Yes",MAX(0,Assumptions!$B$8-G29+1),0)</f>
        <v>8</v>
      </c>
      <c r="M29" s="82">
        <f t="shared" si="1"/>
        <v>49833.333333333336</v>
      </c>
      <c r="N29" s="100">
        <f>MIN(1,SUMIFS(Roster!$N$5:$N$1504,Roster!$B$5:$B$1504,$A29))</f>
        <v>1</v>
      </c>
      <c r="O29" s="100">
        <f>SUMIFS(Roster!$L$5:$L$1504,Roster!$B$5:$B$1504,$A29)</f>
        <v>8</v>
      </c>
      <c r="P29" s="83">
        <f>SUMIFS(Roster!$M$5:$M$1504,Roster!$B$5:$B$1504,$A29)*J29</f>
        <v>49226.666666666664</v>
      </c>
      <c r="Q29" s="83">
        <f>SUMIFS(Roster!$O$5:$O$1504,Roster!$B$5:$B$1504,$A29)*J29</f>
        <v>73840</v>
      </c>
      <c r="R29" s="82">
        <f t="shared" si="2"/>
        <v>73840</v>
      </c>
      <c r="S29" s="82">
        <f t="shared" si="3"/>
        <v>0</v>
      </c>
      <c r="T29" s="82">
        <f t="shared" si="4"/>
        <v>606.66666666667152</v>
      </c>
      <c r="U29" s="82">
        <f t="shared" si="5"/>
        <v>0</v>
      </c>
      <c r="V29" s="83">
        <f>IF(COUNTIFS(Roster!$B$5:$B$1504,$A29,Roster!$G$5:$G$1504,"&gt;0")=0,0,SUMIFS(Roster!$H$5:$H$1504,Roster!$B$5:$B$1504,$A29,Roster!$G$5:$G$1504,_xlfn.MAXIFS(Roster!$G$5:$G$1504,Roster!$B$5:$B$1504,$A29)))</f>
        <v>0</v>
      </c>
      <c r="W29" s="101" t="str">
        <f t="shared" si="6"/>
        <v>Filled</v>
      </c>
    </row>
    <row r="30" spans="1:23" x14ac:dyDescent="0.25">
      <c r="A30" s="76" t="s">
        <v>427</v>
      </c>
      <c r="B30" s="76" t="s">
        <v>353</v>
      </c>
      <c r="C30" s="76" t="s">
        <v>405</v>
      </c>
      <c r="D30" s="97">
        <v>1</v>
      </c>
      <c r="E30" s="98" t="s">
        <v>325</v>
      </c>
      <c r="F30" s="78">
        <v>69000</v>
      </c>
      <c r="G30" s="97">
        <v>1</v>
      </c>
      <c r="H30" s="98" t="s">
        <v>399</v>
      </c>
      <c r="J30" s="99">
        <f>1+Assumptions!$B$11+INDEX(Assumptions!$B$12:$B$15,D30)*Assumptions!$B$16</f>
        <v>1.3</v>
      </c>
      <c r="K30" s="82">
        <f t="shared" si="0"/>
        <v>89700</v>
      </c>
      <c r="L30" s="100">
        <f>IF(E30="Yes",MAX(0,Assumptions!$B$8-G30+1),0)</f>
        <v>8</v>
      </c>
      <c r="M30" s="82">
        <f t="shared" si="1"/>
        <v>59800</v>
      </c>
      <c r="N30" s="100">
        <f>MIN(1,SUMIFS(Roster!$N$5:$N$1504,Roster!$B$5:$B$1504,$A30))</f>
        <v>1</v>
      </c>
      <c r="O30" s="100">
        <f>SUMIFS(Roster!$L$5:$L$1504,Roster!$B$5:$B$1504,$A30)</f>
        <v>8</v>
      </c>
      <c r="P30" s="83">
        <f>SUMIFS(Roster!$M$5:$M$1504,Roster!$B$5:$B$1504,$A30)*J30</f>
        <v>59193.333333333336</v>
      </c>
      <c r="Q30" s="83">
        <f>SUMIFS(Roster!$O$5:$O$1504,Roster!$B$5:$B$1504,$A30)*J30</f>
        <v>88790</v>
      </c>
      <c r="R30" s="82">
        <f t="shared" si="2"/>
        <v>88790</v>
      </c>
      <c r="S30" s="82">
        <f t="shared" si="3"/>
        <v>0</v>
      </c>
      <c r="T30" s="82">
        <f t="shared" si="4"/>
        <v>606.66666666666424</v>
      </c>
      <c r="U30" s="82">
        <f t="shared" si="5"/>
        <v>0</v>
      </c>
      <c r="V30" s="83">
        <f>IF(COUNTIFS(Roster!$B$5:$B$1504,$A30,Roster!$G$5:$G$1504,"&gt;0")=0,0,SUMIFS(Roster!$H$5:$H$1504,Roster!$B$5:$B$1504,$A30,Roster!$G$5:$G$1504,_xlfn.MAXIFS(Roster!$G$5:$G$1504,Roster!$B$5:$B$1504,$A30)))</f>
        <v>0</v>
      </c>
      <c r="W30" s="101" t="str">
        <f t="shared" si="6"/>
        <v>Filled</v>
      </c>
    </row>
    <row r="31" spans="1:23" x14ac:dyDescent="0.25">
      <c r="A31" s="76" t="s">
        <v>428</v>
      </c>
      <c r="B31" s="76" t="s">
        <v>353</v>
      </c>
      <c r="C31" s="76" t="s">
        <v>405</v>
      </c>
      <c r="D31" s="97">
        <v>1</v>
      </c>
      <c r="E31" s="98" t="s">
        <v>325</v>
      </c>
      <c r="F31" s="78">
        <v>62000</v>
      </c>
      <c r="G31" s="97">
        <v>1</v>
      </c>
      <c r="H31" s="98" t="s">
        <v>399</v>
      </c>
      <c r="J31" s="99">
        <f>1+Assumptions!$B$11+INDEX(Assumptions!$B$12:$B$15,D31)*Assumptions!$B$16</f>
        <v>1.3</v>
      </c>
      <c r="K31" s="82">
        <f t="shared" si="0"/>
        <v>80600</v>
      </c>
      <c r="L31" s="100">
        <f>IF(E31="Yes",MAX(0,Assumptions!$B$8-G31+1),0)</f>
        <v>8</v>
      </c>
      <c r="M31" s="82">
        <f t="shared" si="1"/>
        <v>53733.333333333336</v>
      </c>
      <c r="N31" s="100">
        <f>MIN(1,SUMIFS(Roster!$N$5:$N$1504,Roster!$B$5:$B$1504,$A31))</f>
        <v>1</v>
      </c>
      <c r="O31" s="100">
        <f>SUMIFS(Roster!$L$5:$L$1504,Roster!$B$5:$B$1504,$A31)</f>
        <v>8</v>
      </c>
      <c r="P31" s="83">
        <f>SUMIFS(Roster!$M$5:$M$1504,Roster!$B$5:$B$1504,$A31)*J31</f>
        <v>54080</v>
      </c>
      <c r="Q31" s="83">
        <f>SUMIFS(Roster!$O$5:$O$1504,Roster!$B$5:$B$1504,$A31)*J31</f>
        <v>81120</v>
      </c>
      <c r="R31" s="82">
        <f t="shared" si="2"/>
        <v>81120</v>
      </c>
      <c r="S31" s="82">
        <f t="shared" si="3"/>
        <v>0</v>
      </c>
      <c r="T31" s="82">
        <f t="shared" si="4"/>
        <v>-346.66666666666424</v>
      </c>
      <c r="U31" s="82">
        <f t="shared" si="5"/>
        <v>0</v>
      </c>
      <c r="V31" s="83">
        <f>IF(COUNTIFS(Roster!$B$5:$B$1504,$A31,Roster!$G$5:$G$1504,"&gt;0")=0,0,SUMIFS(Roster!$H$5:$H$1504,Roster!$B$5:$B$1504,$A31,Roster!$G$5:$G$1504,_xlfn.MAXIFS(Roster!$G$5:$G$1504,Roster!$B$5:$B$1504,$A31)))</f>
        <v>0</v>
      </c>
      <c r="W31" s="101" t="str">
        <f t="shared" si="6"/>
        <v>Filled</v>
      </c>
    </row>
    <row r="32" spans="1:23" x14ac:dyDescent="0.25">
      <c r="A32" s="76" t="s">
        <v>429</v>
      </c>
      <c r="B32" s="76" t="s">
        <v>353</v>
      </c>
      <c r="C32" s="76" t="s">
        <v>405</v>
      </c>
      <c r="D32" s="97">
        <v>1</v>
      </c>
      <c r="E32" s="98" t="s">
        <v>325</v>
      </c>
      <c r="F32" s="78">
        <v>63500</v>
      </c>
      <c r="G32" s="97">
        <v>1</v>
      </c>
      <c r="H32" s="98" t="s">
        <v>399</v>
      </c>
      <c r="J32" s="99">
        <f>1+Assumptions!$B$11+INDEX(Assumptions!$B$12:$B$15,D32)*Assumptions!$B$16</f>
        <v>1.3</v>
      </c>
      <c r="K32" s="82">
        <f t="shared" si="0"/>
        <v>82550</v>
      </c>
      <c r="L32" s="100">
        <f>IF(E32="Yes",MAX(0,Assumptions!$B$8-G32+1),0)</f>
        <v>8</v>
      </c>
      <c r="M32" s="82">
        <f t="shared" si="1"/>
        <v>55033.333333333336</v>
      </c>
      <c r="N32" s="100">
        <f>MIN(1,SUMIFS(Roster!$N$5:$N$1504,Roster!$B$5:$B$1504,$A32))</f>
        <v>1</v>
      </c>
      <c r="O32" s="100">
        <f>SUMIFS(Roster!$L$5:$L$1504,Roster!$B$5:$B$1504,$A32)</f>
        <v>8</v>
      </c>
      <c r="P32" s="83">
        <f>SUMIFS(Roster!$M$5:$M$1504,Roster!$B$5:$B$1504,$A32)*J32</f>
        <v>54340</v>
      </c>
      <c r="Q32" s="83">
        <f>SUMIFS(Roster!$O$5:$O$1504,Roster!$B$5:$B$1504,$A32)*J32</f>
        <v>81510</v>
      </c>
      <c r="R32" s="82">
        <f t="shared" si="2"/>
        <v>81510</v>
      </c>
      <c r="S32" s="82">
        <f t="shared" si="3"/>
        <v>0</v>
      </c>
      <c r="T32" s="82">
        <f t="shared" si="4"/>
        <v>693.33333333333576</v>
      </c>
      <c r="U32" s="82">
        <f t="shared" si="5"/>
        <v>0</v>
      </c>
      <c r="V32" s="83">
        <f>IF(COUNTIFS(Roster!$B$5:$B$1504,$A32,Roster!$G$5:$G$1504,"&gt;0")=0,0,SUMIFS(Roster!$H$5:$H$1504,Roster!$B$5:$B$1504,$A32,Roster!$G$5:$G$1504,_xlfn.MAXIFS(Roster!$G$5:$G$1504,Roster!$B$5:$B$1504,$A32)))</f>
        <v>0</v>
      </c>
      <c r="W32" s="101" t="str">
        <f t="shared" si="6"/>
        <v>Filled</v>
      </c>
    </row>
    <row r="33" spans="1:23" x14ac:dyDescent="0.25">
      <c r="A33" s="76" t="s">
        <v>430</v>
      </c>
      <c r="B33" s="76" t="s">
        <v>353</v>
      </c>
      <c r="C33" s="76" t="s">
        <v>405</v>
      </c>
      <c r="D33" s="97">
        <v>1</v>
      </c>
      <c r="E33" s="98" t="s">
        <v>325</v>
      </c>
      <c r="F33" s="78">
        <v>55500</v>
      </c>
      <c r="G33" s="97">
        <v>1</v>
      </c>
      <c r="H33" s="98" t="s">
        <v>399</v>
      </c>
      <c r="J33" s="99">
        <f>1+Assumptions!$B$11+INDEX(Assumptions!$B$12:$B$15,D33)*Assumptions!$B$16</f>
        <v>1.3</v>
      </c>
      <c r="K33" s="82">
        <f t="shared" si="0"/>
        <v>72150</v>
      </c>
      <c r="L33" s="100">
        <f>IF(E33="Yes",MAX(0,Assumptions!$B$8-G33+1),0)</f>
        <v>8</v>
      </c>
      <c r="M33" s="82">
        <f t="shared" si="1"/>
        <v>48100</v>
      </c>
      <c r="N33" s="100">
        <f>MIN(1,SUMIFS(Roster!$N$5:$N$1504,Roster!$B$5:$B$1504,$A33))</f>
        <v>1</v>
      </c>
      <c r="O33" s="100">
        <f>SUMIFS(Roster!$L$5:$L$1504,Roster!$B$5:$B$1504,$A33)</f>
        <v>8</v>
      </c>
      <c r="P33" s="83">
        <f>SUMIFS(Roster!$M$5:$M$1504,Roster!$B$5:$B$1504,$A33)*J33</f>
        <v>47753.333333333336</v>
      </c>
      <c r="Q33" s="83">
        <f>SUMIFS(Roster!$O$5:$O$1504,Roster!$B$5:$B$1504,$A33)*J33</f>
        <v>71630</v>
      </c>
      <c r="R33" s="82">
        <f t="shared" si="2"/>
        <v>71630</v>
      </c>
      <c r="S33" s="82">
        <f t="shared" si="3"/>
        <v>0</v>
      </c>
      <c r="T33" s="82">
        <f t="shared" si="4"/>
        <v>346.66666666666424</v>
      </c>
      <c r="U33" s="82">
        <f t="shared" si="5"/>
        <v>0</v>
      </c>
      <c r="V33" s="83">
        <f>IF(COUNTIFS(Roster!$B$5:$B$1504,$A33,Roster!$G$5:$G$1504,"&gt;0")=0,0,SUMIFS(Roster!$H$5:$H$1504,Roster!$B$5:$B$1504,$A33,Roster!$G$5:$G$1504,_xlfn.MAXIFS(Roster!$G$5:$G$1504,Roster!$B$5:$B$1504,$A33)))</f>
        <v>0</v>
      </c>
      <c r="W33" s="101" t="str">
        <f t="shared" si="6"/>
        <v>Filled</v>
      </c>
    </row>
    <row r="34" spans="1:23" x14ac:dyDescent="0.25">
      <c r="A34" s="76" t="s">
        <v>431</v>
      </c>
      <c r="B34" s="76" t="s">
        <v>353</v>
      </c>
      <c r="C34" s="76" t="s">
        <v>405</v>
      </c>
      <c r="D34" s="97">
        <v>1</v>
      </c>
      <c r="E34" s="98" t="s">
        <v>325</v>
      </c>
      <c r="F34" s="78">
        <v>69500</v>
      </c>
      <c r="G34" s="97">
        <v>1</v>
      </c>
      <c r="H34" s="98" t="s">
        <v>399</v>
      </c>
      <c r="J34" s="99">
        <f>1+Assumptions!$B$11+INDEX(Assumptions!$B$12:$B$15,D34)*Assumptions!$B$16</f>
        <v>1.3</v>
      </c>
      <c r="K34" s="82">
        <f t="shared" si="0"/>
        <v>90350</v>
      </c>
      <c r="L34" s="100">
        <f>IF(E34="Yes",MAX(0,Assumptions!$B$8-G34+1),0)</f>
        <v>8</v>
      </c>
      <c r="M34" s="82">
        <f t="shared" si="1"/>
        <v>60233.333333333336</v>
      </c>
      <c r="N34" s="100">
        <f>MIN(1,SUMIFS(Roster!$N$5:$N$1504,Roster!$B$5:$B$1504,$A34))</f>
        <v>1</v>
      </c>
      <c r="O34" s="100">
        <f>SUMIFS(Roster!$L$5:$L$1504,Roster!$B$5:$B$1504,$A34)</f>
        <v>8</v>
      </c>
      <c r="P34" s="83">
        <f>SUMIFS(Roster!$M$5:$M$1504,Roster!$B$5:$B$1504,$A34)*J34</f>
        <v>60146.666666666664</v>
      </c>
      <c r="Q34" s="83">
        <f>SUMIFS(Roster!$O$5:$O$1504,Roster!$B$5:$B$1504,$A34)*J34</f>
        <v>90220</v>
      </c>
      <c r="R34" s="82">
        <f t="shared" si="2"/>
        <v>90220</v>
      </c>
      <c r="S34" s="82">
        <f t="shared" si="3"/>
        <v>0</v>
      </c>
      <c r="T34" s="82">
        <f t="shared" si="4"/>
        <v>86.666666666671517</v>
      </c>
      <c r="U34" s="82">
        <f t="shared" si="5"/>
        <v>0</v>
      </c>
      <c r="V34" s="83">
        <f>IF(COUNTIFS(Roster!$B$5:$B$1504,$A34,Roster!$G$5:$G$1504,"&gt;0")=0,0,SUMIFS(Roster!$H$5:$H$1504,Roster!$B$5:$B$1504,$A34,Roster!$G$5:$G$1504,_xlfn.MAXIFS(Roster!$G$5:$G$1504,Roster!$B$5:$B$1504,$A34)))</f>
        <v>0</v>
      </c>
      <c r="W34" s="101" t="str">
        <f t="shared" si="6"/>
        <v>Filled</v>
      </c>
    </row>
    <row r="35" spans="1:23" x14ac:dyDescent="0.25">
      <c r="A35" s="76" t="s">
        <v>432</v>
      </c>
      <c r="B35" s="76" t="s">
        <v>353</v>
      </c>
      <c r="C35" s="76" t="s">
        <v>401</v>
      </c>
      <c r="D35" s="97">
        <v>2</v>
      </c>
      <c r="E35" s="98" t="s">
        <v>325</v>
      </c>
      <c r="F35" s="78">
        <v>93000</v>
      </c>
      <c r="G35" s="97">
        <v>1</v>
      </c>
      <c r="H35" s="98" t="s">
        <v>399</v>
      </c>
      <c r="J35" s="99">
        <f>1+Assumptions!$B$11+INDEX(Assumptions!$B$12:$B$15,D35)*Assumptions!$B$16</f>
        <v>1.35</v>
      </c>
      <c r="K35" s="82">
        <f t="shared" si="0"/>
        <v>125550.00000000001</v>
      </c>
      <c r="L35" s="100">
        <f>IF(E35="Yes",MAX(0,Assumptions!$B$8-G35+1),0)</f>
        <v>8</v>
      </c>
      <c r="M35" s="82">
        <f t="shared" si="1"/>
        <v>83700.000000000015</v>
      </c>
      <c r="N35" s="100">
        <f>MIN(1,SUMIFS(Roster!$N$5:$N$1504,Roster!$B$5:$B$1504,$A35))</f>
        <v>1</v>
      </c>
      <c r="O35" s="100">
        <f>SUMIFS(Roster!$L$5:$L$1504,Roster!$B$5:$B$1504,$A35)</f>
        <v>8</v>
      </c>
      <c r="P35" s="83">
        <f>SUMIFS(Roster!$M$5:$M$1504,Roster!$B$5:$B$1504,$A35)*J35</f>
        <v>83340.000000000015</v>
      </c>
      <c r="Q35" s="83">
        <f>SUMIFS(Roster!$O$5:$O$1504,Roster!$B$5:$B$1504,$A35)*J35</f>
        <v>125010.00000000001</v>
      </c>
      <c r="R35" s="82">
        <f t="shared" si="2"/>
        <v>125010.00000000001</v>
      </c>
      <c r="S35" s="82">
        <f t="shared" si="3"/>
        <v>0</v>
      </c>
      <c r="T35" s="82">
        <f t="shared" si="4"/>
        <v>360</v>
      </c>
      <c r="U35" s="82">
        <f t="shared" si="5"/>
        <v>0</v>
      </c>
      <c r="V35" s="83">
        <f>IF(COUNTIFS(Roster!$B$5:$B$1504,$A35,Roster!$G$5:$G$1504,"&gt;0")=0,0,SUMIFS(Roster!$H$5:$H$1504,Roster!$B$5:$B$1504,$A35,Roster!$G$5:$G$1504,_xlfn.MAXIFS(Roster!$G$5:$G$1504,Roster!$B$5:$B$1504,$A35)))</f>
        <v>0</v>
      </c>
      <c r="W35" s="101" t="str">
        <f t="shared" si="6"/>
        <v>Filled</v>
      </c>
    </row>
    <row r="36" spans="1:23" x14ac:dyDescent="0.25">
      <c r="A36" s="76" t="s">
        <v>433</v>
      </c>
      <c r="B36" s="76" t="s">
        <v>353</v>
      </c>
      <c r="C36" s="76" t="s">
        <v>398</v>
      </c>
      <c r="D36" s="97">
        <v>3</v>
      </c>
      <c r="E36" s="98" t="s">
        <v>325</v>
      </c>
      <c r="F36" s="78">
        <v>113000</v>
      </c>
      <c r="G36" s="97">
        <v>1</v>
      </c>
      <c r="H36" s="98" t="s">
        <v>399</v>
      </c>
      <c r="J36" s="99">
        <f>1+Assumptions!$B$11+INDEX(Assumptions!$B$12:$B$15,D36)*Assumptions!$B$16</f>
        <v>1.4</v>
      </c>
      <c r="K36" s="82">
        <f t="shared" si="0"/>
        <v>158200</v>
      </c>
      <c r="L36" s="100">
        <f>IF(E36="Yes",MAX(0,Assumptions!$B$8-G36+1),0)</f>
        <v>8</v>
      </c>
      <c r="M36" s="82">
        <f t="shared" si="1"/>
        <v>105466.66666666667</v>
      </c>
      <c r="N36" s="100">
        <f>MIN(1,SUMIFS(Roster!$N$5:$N$1504,Roster!$B$5:$B$1504,$A36))</f>
        <v>1</v>
      </c>
      <c r="O36" s="100">
        <f>SUMIFS(Roster!$L$5:$L$1504,Roster!$B$5:$B$1504,$A36)</f>
        <v>8</v>
      </c>
      <c r="P36" s="83">
        <f>SUMIFS(Roster!$M$5:$M$1504,Roster!$B$5:$B$1504,$A36)*J36</f>
        <v>106400</v>
      </c>
      <c r="Q36" s="83">
        <f>SUMIFS(Roster!$O$5:$O$1504,Roster!$B$5:$B$1504,$A36)*J36</f>
        <v>159600</v>
      </c>
      <c r="R36" s="82">
        <f t="shared" si="2"/>
        <v>159600</v>
      </c>
      <c r="S36" s="82">
        <f t="shared" si="3"/>
        <v>0</v>
      </c>
      <c r="T36" s="82">
        <f t="shared" si="4"/>
        <v>-933.33333333332848</v>
      </c>
      <c r="U36" s="82">
        <f t="shared" si="5"/>
        <v>0</v>
      </c>
      <c r="V36" s="83">
        <f>IF(COUNTIFS(Roster!$B$5:$B$1504,$A36,Roster!$G$5:$G$1504,"&gt;0")=0,0,SUMIFS(Roster!$H$5:$H$1504,Roster!$B$5:$B$1504,$A36,Roster!$G$5:$G$1504,_xlfn.MAXIFS(Roster!$G$5:$G$1504,Roster!$B$5:$B$1504,$A36)))</f>
        <v>0</v>
      </c>
      <c r="W36" s="101" t="str">
        <f t="shared" si="6"/>
        <v>Filled</v>
      </c>
    </row>
    <row r="37" spans="1:23" x14ac:dyDescent="0.25">
      <c r="A37" s="76" t="s">
        <v>434</v>
      </c>
      <c r="B37" s="76" t="s">
        <v>353</v>
      </c>
      <c r="C37" s="76" t="s">
        <v>407</v>
      </c>
      <c r="D37" s="97">
        <v>1</v>
      </c>
      <c r="E37" s="98" t="s">
        <v>325</v>
      </c>
      <c r="F37" s="78">
        <v>61500</v>
      </c>
      <c r="G37" s="97">
        <v>1</v>
      </c>
      <c r="H37" s="98" t="s">
        <v>399</v>
      </c>
      <c r="J37" s="99">
        <f>1+Assumptions!$B$11+INDEX(Assumptions!$B$12:$B$15,D37)*Assumptions!$B$16</f>
        <v>1.3</v>
      </c>
      <c r="K37" s="82">
        <f t="shared" si="0"/>
        <v>79950</v>
      </c>
      <c r="L37" s="100">
        <f>IF(E37="Yes",MAX(0,Assumptions!$B$8-G37+1),0)</f>
        <v>8</v>
      </c>
      <c r="M37" s="82">
        <f t="shared" si="1"/>
        <v>53300</v>
      </c>
      <c r="N37" s="100">
        <f>MIN(1,SUMIFS(Roster!$N$5:$N$1504,Roster!$B$5:$B$1504,$A37))</f>
        <v>1</v>
      </c>
      <c r="O37" s="100">
        <f>SUMIFS(Roster!$L$5:$L$1504,Roster!$B$5:$B$1504,$A37)</f>
        <v>8</v>
      </c>
      <c r="P37" s="83">
        <f>SUMIFS(Roster!$M$5:$M$1504,Roster!$B$5:$B$1504,$A37)*J37</f>
        <v>53646.666666666664</v>
      </c>
      <c r="Q37" s="83">
        <f>SUMIFS(Roster!$O$5:$O$1504,Roster!$B$5:$B$1504,$A37)*J37</f>
        <v>80470</v>
      </c>
      <c r="R37" s="82">
        <f t="shared" si="2"/>
        <v>80470</v>
      </c>
      <c r="S37" s="82">
        <f t="shared" si="3"/>
        <v>0</v>
      </c>
      <c r="T37" s="82">
        <f t="shared" si="4"/>
        <v>-346.66666666666424</v>
      </c>
      <c r="U37" s="82">
        <f t="shared" si="5"/>
        <v>0</v>
      </c>
      <c r="V37" s="83">
        <f>IF(COUNTIFS(Roster!$B$5:$B$1504,$A37,Roster!$G$5:$G$1504,"&gt;0")=0,0,SUMIFS(Roster!$H$5:$H$1504,Roster!$B$5:$B$1504,$A37,Roster!$G$5:$G$1504,_xlfn.MAXIFS(Roster!$G$5:$G$1504,Roster!$B$5:$B$1504,$A37)))</f>
        <v>0</v>
      </c>
      <c r="W37" s="101" t="str">
        <f t="shared" si="6"/>
        <v>Filled</v>
      </c>
    </row>
    <row r="38" spans="1:23" x14ac:dyDescent="0.25">
      <c r="A38" s="76" t="s">
        <v>435</v>
      </c>
      <c r="B38" s="76" t="s">
        <v>353</v>
      </c>
      <c r="C38" s="76" t="s">
        <v>398</v>
      </c>
      <c r="D38" s="97">
        <v>3</v>
      </c>
      <c r="E38" s="98" t="s">
        <v>325</v>
      </c>
      <c r="F38" s="78">
        <v>115500</v>
      </c>
      <c r="G38" s="97">
        <v>1</v>
      </c>
      <c r="H38" s="98" t="s">
        <v>399</v>
      </c>
      <c r="J38" s="99">
        <f>1+Assumptions!$B$11+INDEX(Assumptions!$B$12:$B$15,D38)*Assumptions!$B$16</f>
        <v>1.4</v>
      </c>
      <c r="K38" s="82">
        <f t="shared" si="0"/>
        <v>161700</v>
      </c>
      <c r="L38" s="100">
        <f>IF(E38="Yes",MAX(0,Assumptions!$B$8-G38+1),0)</f>
        <v>8</v>
      </c>
      <c r="M38" s="82">
        <f t="shared" si="1"/>
        <v>107800</v>
      </c>
      <c r="N38" s="100">
        <f>MIN(1,SUMIFS(Roster!$N$5:$N$1504,Roster!$B$5:$B$1504,$A38))</f>
        <v>1</v>
      </c>
      <c r="O38" s="100">
        <f>SUMIFS(Roster!$L$5:$L$1504,Roster!$B$5:$B$1504,$A38)</f>
        <v>8</v>
      </c>
      <c r="P38" s="83">
        <f>SUMIFS(Roster!$M$5:$M$1504,Roster!$B$5:$B$1504,$A38)*J38</f>
        <v>106773.33333333333</v>
      </c>
      <c r="Q38" s="83">
        <f>SUMIFS(Roster!$O$5:$O$1504,Roster!$B$5:$B$1504,$A38)*J38</f>
        <v>160160</v>
      </c>
      <c r="R38" s="82">
        <f t="shared" si="2"/>
        <v>160160</v>
      </c>
      <c r="S38" s="82">
        <f t="shared" si="3"/>
        <v>0</v>
      </c>
      <c r="T38" s="82">
        <f t="shared" si="4"/>
        <v>1026.6666666666715</v>
      </c>
      <c r="U38" s="82">
        <f t="shared" si="5"/>
        <v>0</v>
      </c>
      <c r="V38" s="83">
        <f>IF(COUNTIFS(Roster!$B$5:$B$1504,$A38,Roster!$G$5:$G$1504,"&gt;0")=0,0,SUMIFS(Roster!$H$5:$H$1504,Roster!$B$5:$B$1504,$A38,Roster!$G$5:$G$1504,_xlfn.MAXIFS(Roster!$G$5:$G$1504,Roster!$B$5:$B$1504,$A38)))</f>
        <v>0</v>
      </c>
      <c r="W38" s="101" t="str">
        <f t="shared" si="6"/>
        <v>Filled</v>
      </c>
    </row>
    <row r="39" spans="1:23" x14ac:dyDescent="0.25">
      <c r="A39" s="76" t="s">
        <v>436</v>
      </c>
      <c r="B39" s="76" t="s">
        <v>353</v>
      </c>
      <c r="C39" s="76" t="s">
        <v>405</v>
      </c>
      <c r="D39" s="97">
        <v>1</v>
      </c>
      <c r="E39" s="98" t="s">
        <v>325</v>
      </c>
      <c r="F39" s="78">
        <v>55500</v>
      </c>
      <c r="G39" s="97">
        <v>1</v>
      </c>
      <c r="H39" s="98" t="s">
        <v>399</v>
      </c>
      <c r="J39" s="99">
        <f>1+Assumptions!$B$11+INDEX(Assumptions!$B$12:$B$15,D39)*Assumptions!$B$16</f>
        <v>1.3</v>
      </c>
      <c r="K39" s="82">
        <f t="shared" si="0"/>
        <v>72150</v>
      </c>
      <c r="L39" s="100">
        <f>IF(E39="Yes",MAX(0,Assumptions!$B$8-G39+1),0)</f>
        <v>8</v>
      </c>
      <c r="M39" s="82">
        <f t="shared" si="1"/>
        <v>48100</v>
      </c>
      <c r="N39" s="100">
        <f>MIN(1,SUMIFS(Roster!$N$5:$N$1504,Roster!$B$5:$B$1504,$A39))</f>
        <v>1</v>
      </c>
      <c r="O39" s="100">
        <f>SUMIFS(Roster!$L$5:$L$1504,Roster!$B$5:$B$1504,$A39)</f>
        <v>8</v>
      </c>
      <c r="P39" s="83">
        <f>SUMIFS(Roster!$M$5:$M$1504,Roster!$B$5:$B$1504,$A39)*J39</f>
        <v>48100</v>
      </c>
      <c r="Q39" s="83">
        <f>SUMIFS(Roster!$O$5:$O$1504,Roster!$B$5:$B$1504,$A39)*J39</f>
        <v>72150</v>
      </c>
      <c r="R39" s="82">
        <f t="shared" si="2"/>
        <v>72150</v>
      </c>
      <c r="S39" s="82">
        <f t="shared" si="3"/>
        <v>0</v>
      </c>
      <c r="T39" s="82">
        <f t="shared" si="4"/>
        <v>0</v>
      </c>
      <c r="U39" s="82">
        <f t="shared" si="5"/>
        <v>0</v>
      </c>
      <c r="V39" s="83">
        <f>IF(COUNTIFS(Roster!$B$5:$B$1504,$A39,Roster!$G$5:$G$1504,"&gt;0")=0,0,SUMIFS(Roster!$H$5:$H$1504,Roster!$B$5:$B$1504,$A39,Roster!$G$5:$G$1504,_xlfn.MAXIFS(Roster!$G$5:$G$1504,Roster!$B$5:$B$1504,$A39)))</f>
        <v>0</v>
      </c>
      <c r="W39" s="101" t="str">
        <f t="shared" si="6"/>
        <v>Filled</v>
      </c>
    </row>
    <row r="40" spans="1:23" x14ac:dyDescent="0.25">
      <c r="A40" s="76" t="s">
        <v>437</v>
      </c>
      <c r="B40" s="76" t="s">
        <v>353</v>
      </c>
      <c r="C40" s="76" t="s">
        <v>398</v>
      </c>
      <c r="D40" s="97">
        <v>3</v>
      </c>
      <c r="E40" s="98" t="s">
        <v>325</v>
      </c>
      <c r="F40" s="78">
        <v>131000</v>
      </c>
      <c r="G40" s="97">
        <v>1</v>
      </c>
      <c r="H40" s="98" t="s">
        <v>399</v>
      </c>
      <c r="J40" s="99">
        <f>1+Assumptions!$B$11+INDEX(Assumptions!$B$12:$B$15,D40)*Assumptions!$B$16</f>
        <v>1.4</v>
      </c>
      <c r="K40" s="82">
        <f t="shared" si="0"/>
        <v>183400</v>
      </c>
      <c r="L40" s="100">
        <f>IF(E40="Yes",MAX(0,Assumptions!$B$8-G40+1),0)</f>
        <v>8</v>
      </c>
      <c r="M40" s="82">
        <f t="shared" si="1"/>
        <v>122266.66666666667</v>
      </c>
      <c r="N40" s="100">
        <f>MIN(1,SUMIFS(Roster!$N$5:$N$1504,Roster!$B$5:$B$1504,$A40))</f>
        <v>1</v>
      </c>
      <c r="O40" s="100">
        <f>SUMIFS(Roster!$L$5:$L$1504,Roster!$B$5:$B$1504,$A40)</f>
        <v>8</v>
      </c>
      <c r="P40" s="83">
        <f>SUMIFS(Roster!$M$5:$M$1504,Roster!$B$5:$B$1504,$A40)*J40</f>
        <v>123479.99999999999</v>
      </c>
      <c r="Q40" s="83">
        <f>SUMIFS(Roster!$O$5:$O$1504,Roster!$B$5:$B$1504,$A40)*J40</f>
        <v>185220</v>
      </c>
      <c r="R40" s="82">
        <f t="shared" si="2"/>
        <v>185220</v>
      </c>
      <c r="S40" s="82">
        <f t="shared" si="3"/>
        <v>0</v>
      </c>
      <c r="T40" s="82">
        <f t="shared" si="4"/>
        <v>-1213.3333333333139</v>
      </c>
      <c r="U40" s="82">
        <f t="shared" si="5"/>
        <v>0</v>
      </c>
      <c r="V40" s="83">
        <f>IF(COUNTIFS(Roster!$B$5:$B$1504,$A40,Roster!$G$5:$G$1504,"&gt;0")=0,0,SUMIFS(Roster!$H$5:$H$1504,Roster!$B$5:$B$1504,$A40,Roster!$G$5:$G$1504,_xlfn.MAXIFS(Roster!$G$5:$G$1504,Roster!$B$5:$B$1504,$A40)))</f>
        <v>0</v>
      </c>
      <c r="W40" s="101" t="str">
        <f t="shared" si="6"/>
        <v>Filled</v>
      </c>
    </row>
    <row r="41" spans="1:23" x14ac:dyDescent="0.25">
      <c r="A41" s="76" t="s">
        <v>438</v>
      </c>
      <c r="B41" s="76" t="s">
        <v>353</v>
      </c>
      <c r="C41" s="76" t="s">
        <v>407</v>
      </c>
      <c r="D41" s="97">
        <v>1</v>
      </c>
      <c r="E41" s="98" t="s">
        <v>325</v>
      </c>
      <c r="F41" s="78">
        <v>58000</v>
      </c>
      <c r="G41" s="97">
        <v>1</v>
      </c>
      <c r="H41" s="98" t="s">
        <v>399</v>
      </c>
      <c r="J41" s="99">
        <f>1+Assumptions!$B$11+INDEX(Assumptions!$B$12:$B$15,D41)*Assumptions!$B$16</f>
        <v>1.3</v>
      </c>
      <c r="K41" s="82">
        <f t="shared" si="0"/>
        <v>75400</v>
      </c>
      <c r="L41" s="100">
        <f>IF(E41="Yes",MAX(0,Assumptions!$B$8-G41+1),0)</f>
        <v>8</v>
      </c>
      <c r="M41" s="82">
        <f t="shared" si="1"/>
        <v>50266.666666666664</v>
      </c>
      <c r="N41" s="100">
        <f>MIN(1,SUMIFS(Roster!$N$5:$N$1504,Roster!$B$5:$B$1504,$A41))</f>
        <v>1</v>
      </c>
      <c r="O41" s="100">
        <f>SUMIFS(Roster!$L$5:$L$1504,Roster!$B$5:$B$1504,$A41)</f>
        <v>7</v>
      </c>
      <c r="P41" s="83">
        <f>SUMIFS(Roster!$M$5:$M$1504,Roster!$B$5:$B$1504,$A41)*J41</f>
        <v>45196.666666666664</v>
      </c>
      <c r="Q41" s="83">
        <f>SUMIFS(Roster!$O$5:$O$1504,Roster!$B$5:$B$1504,$A41)*J41</f>
        <v>78000</v>
      </c>
      <c r="R41" s="82">
        <f t="shared" si="2"/>
        <v>78000</v>
      </c>
      <c r="S41" s="82">
        <f t="shared" si="3"/>
        <v>6283.333333333333</v>
      </c>
      <c r="T41" s="82">
        <f t="shared" si="4"/>
        <v>-1213.3333333333285</v>
      </c>
      <c r="U41" s="82">
        <f t="shared" si="5"/>
        <v>0</v>
      </c>
      <c r="V41" s="83">
        <f>IF(COUNTIFS(Roster!$B$5:$B$1504,$A41,Roster!$G$5:$G$1504,"&gt;0")=0,0,SUMIFS(Roster!$H$5:$H$1504,Roster!$B$5:$B$1504,$A41,Roster!$G$5:$G$1504,_xlfn.MAXIFS(Roster!$G$5:$G$1504,Roster!$B$5:$B$1504,$A41)))</f>
        <v>57200</v>
      </c>
      <c r="W41" s="101" t="str">
        <f t="shared" si="6"/>
        <v>Filled</v>
      </c>
    </row>
    <row r="42" spans="1:23" x14ac:dyDescent="0.25">
      <c r="A42" s="76" t="s">
        <v>439</v>
      </c>
      <c r="B42" s="76" t="s">
        <v>353</v>
      </c>
      <c r="C42" s="76" t="s">
        <v>405</v>
      </c>
      <c r="D42" s="97">
        <v>1</v>
      </c>
      <c r="E42" s="98" t="s">
        <v>325</v>
      </c>
      <c r="F42" s="78">
        <v>66000</v>
      </c>
      <c r="G42" s="97">
        <v>1</v>
      </c>
      <c r="H42" s="98" t="s">
        <v>399</v>
      </c>
      <c r="J42" s="99">
        <f>1+Assumptions!$B$11+INDEX(Assumptions!$B$12:$B$15,D42)*Assumptions!$B$16</f>
        <v>1.3</v>
      </c>
      <c r="K42" s="82">
        <f t="shared" si="0"/>
        <v>85800</v>
      </c>
      <c r="L42" s="100">
        <f>IF(E42="Yes",MAX(0,Assumptions!$B$8-G42+1),0)</f>
        <v>8</v>
      </c>
      <c r="M42" s="82">
        <f t="shared" si="1"/>
        <v>57200</v>
      </c>
      <c r="N42" s="100">
        <f>MIN(1,SUMIFS(Roster!$N$5:$N$1504,Roster!$B$5:$B$1504,$A42))</f>
        <v>1</v>
      </c>
      <c r="O42" s="100">
        <f>SUMIFS(Roster!$L$5:$L$1504,Roster!$B$5:$B$1504,$A42)</f>
        <v>8</v>
      </c>
      <c r="P42" s="83">
        <f>SUMIFS(Roster!$M$5:$M$1504,Roster!$B$5:$B$1504,$A42)*J42</f>
        <v>56680</v>
      </c>
      <c r="Q42" s="83">
        <f>SUMIFS(Roster!$O$5:$O$1504,Roster!$B$5:$B$1504,$A42)*J42</f>
        <v>85020</v>
      </c>
      <c r="R42" s="82">
        <f t="shared" si="2"/>
        <v>85020</v>
      </c>
      <c r="S42" s="82">
        <f t="shared" si="3"/>
        <v>0</v>
      </c>
      <c r="T42" s="82">
        <f t="shared" si="4"/>
        <v>520</v>
      </c>
      <c r="U42" s="82">
        <f t="shared" si="5"/>
        <v>0</v>
      </c>
      <c r="V42" s="83">
        <f>IF(COUNTIFS(Roster!$B$5:$B$1504,$A42,Roster!$G$5:$G$1504,"&gt;0")=0,0,SUMIFS(Roster!$H$5:$H$1504,Roster!$B$5:$B$1504,$A42,Roster!$G$5:$G$1504,_xlfn.MAXIFS(Roster!$G$5:$G$1504,Roster!$B$5:$B$1504,$A42)))</f>
        <v>0</v>
      </c>
      <c r="W42" s="101" t="str">
        <f t="shared" si="6"/>
        <v>Filled</v>
      </c>
    </row>
    <row r="43" spans="1:23" x14ac:dyDescent="0.25">
      <c r="A43" s="76" t="s">
        <v>440</v>
      </c>
      <c r="B43" s="76" t="s">
        <v>353</v>
      </c>
      <c r="C43" s="76" t="s">
        <v>407</v>
      </c>
      <c r="D43" s="97">
        <v>1</v>
      </c>
      <c r="E43" s="98" t="s">
        <v>325</v>
      </c>
      <c r="F43" s="78">
        <v>65500</v>
      </c>
      <c r="G43" s="97">
        <v>1</v>
      </c>
      <c r="H43" s="98" t="s">
        <v>399</v>
      </c>
      <c r="J43" s="99">
        <f>1+Assumptions!$B$11+INDEX(Assumptions!$B$12:$B$15,D43)*Assumptions!$B$16</f>
        <v>1.3</v>
      </c>
      <c r="K43" s="82">
        <f t="shared" si="0"/>
        <v>85150</v>
      </c>
      <c r="L43" s="100">
        <f>IF(E43="Yes",MAX(0,Assumptions!$B$8-G43+1),0)</f>
        <v>8</v>
      </c>
      <c r="M43" s="82">
        <f t="shared" si="1"/>
        <v>56766.666666666664</v>
      </c>
      <c r="N43" s="100">
        <f>MIN(1,SUMIFS(Roster!$N$5:$N$1504,Roster!$B$5:$B$1504,$A43))</f>
        <v>1</v>
      </c>
      <c r="O43" s="100">
        <f>SUMIFS(Roster!$L$5:$L$1504,Roster!$B$5:$B$1504,$A43)</f>
        <v>8</v>
      </c>
      <c r="P43" s="83">
        <f>SUMIFS(Roster!$M$5:$M$1504,Roster!$B$5:$B$1504,$A43)*J43</f>
        <v>56766.666666666664</v>
      </c>
      <c r="Q43" s="83">
        <f>SUMIFS(Roster!$O$5:$O$1504,Roster!$B$5:$B$1504,$A43)*J43</f>
        <v>85150</v>
      </c>
      <c r="R43" s="82">
        <f t="shared" si="2"/>
        <v>85150</v>
      </c>
      <c r="S43" s="82">
        <f t="shared" si="3"/>
        <v>0</v>
      </c>
      <c r="T43" s="82">
        <f t="shared" si="4"/>
        <v>0</v>
      </c>
      <c r="U43" s="82">
        <f t="shared" si="5"/>
        <v>0</v>
      </c>
      <c r="V43" s="83">
        <f>IF(COUNTIFS(Roster!$B$5:$B$1504,$A43,Roster!$G$5:$G$1504,"&gt;0")=0,0,SUMIFS(Roster!$H$5:$H$1504,Roster!$B$5:$B$1504,$A43,Roster!$G$5:$G$1504,_xlfn.MAXIFS(Roster!$G$5:$G$1504,Roster!$B$5:$B$1504,$A43)))</f>
        <v>0</v>
      </c>
      <c r="W43" s="101" t="str">
        <f t="shared" si="6"/>
        <v>Filled</v>
      </c>
    </row>
    <row r="44" spans="1:23" x14ac:dyDescent="0.25">
      <c r="A44" s="76" t="s">
        <v>441</v>
      </c>
      <c r="B44" s="76" t="s">
        <v>353</v>
      </c>
      <c r="C44" s="76" t="s">
        <v>407</v>
      </c>
      <c r="D44" s="97">
        <v>1</v>
      </c>
      <c r="E44" s="98" t="s">
        <v>325</v>
      </c>
      <c r="F44" s="78">
        <v>69500</v>
      </c>
      <c r="G44" s="97">
        <v>1</v>
      </c>
      <c r="H44" s="98" t="s">
        <v>399</v>
      </c>
      <c r="J44" s="99">
        <f>1+Assumptions!$B$11+INDEX(Assumptions!$B$12:$B$15,D44)*Assumptions!$B$16</f>
        <v>1.3</v>
      </c>
      <c r="K44" s="82">
        <f t="shared" si="0"/>
        <v>90350</v>
      </c>
      <c r="L44" s="100">
        <f>IF(E44="Yes",MAX(0,Assumptions!$B$8-G44+1),0)</f>
        <v>8</v>
      </c>
      <c r="M44" s="82">
        <f t="shared" si="1"/>
        <v>60233.333333333336</v>
      </c>
      <c r="N44" s="100">
        <f>MIN(1,SUMIFS(Roster!$N$5:$N$1504,Roster!$B$5:$B$1504,$A44))</f>
        <v>1</v>
      </c>
      <c r="O44" s="100">
        <f>SUMIFS(Roster!$L$5:$L$1504,Roster!$B$5:$B$1504,$A44)</f>
        <v>8</v>
      </c>
      <c r="P44" s="83">
        <f>SUMIFS(Roster!$M$5:$M$1504,Roster!$B$5:$B$1504,$A44)*J44</f>
        <v>61479.166666666672</v>
      </c>
      <c r="Q44" s="83">
        <f>SUMIFS(Roster!$O$5:$O$1504,Roster!$B$5:$B$1504,$A44)*J44</f>
        <v>95550</v>
      </c>
      <c r="R44" s="82">
        <f t="shared" si="2"/>
        <v>95550</v>
      </c>
      <c r="S44" s="82">
        <f t="shared" si="3"/>
        <v>0</v>
      </c>
      <c r="T44" s="82">
        <f t="shared" si="4"/>
        <v>-1245.8333333333358</v>
      </c>
      <c r="U44" s="82">
        <f t="shared" si="5"/>
        <v>0</v>
      </c>
      <c r="V44" s="83">
        <f>IF(COUNTIFS(Roster!$B$5:$B$1504,$A44,Roster!$G$5:$G$1504,"&gt;0")=0,0,SUMIFS(Roster!$H$5:$H$1504,Roster!$B$5:$B$1504,$A44,Roster!$G$5:$G$1504,_xlfn.MAXIFS(Roster!$G$5:$G$1504,Roster!$B$5:$B$1504,$A44)))</f>
        <v>69400</v>
      </c>
      <c r="W44" s="101" t="str">
        <f t="shared" si="6"/>
        <v>Filled</v>
      </c>
    </row>
    <row r="45" spans="1:23" x14ac:dyDescent="0.25">
      <c r="A45" s="76" t="s">
        <v>442</v>
      </c>
      <c r="B45" s="76" t="s">
        <v>353</v>
      </c>
      <c r="C45" s="76" t="s">
        <v>398</v>
      </c>
      <c r="D45" s="97">
        <v>3</v>
      </c>
      <c r="E45" s="98" t="s">
        <v>325</v>
      </c>
      <c r="F45" s="78">
        <v>113500</v>
      </c>
      <c r="G45" s="97">
        <v>1</v>
      </c>
      <c r="H45" s="98" t="s">
        <v>399</v>
      </c>
      <c r="J45" s="99">
        <f>1+Assumptions!$B$11+INDEX(Assumptions!$B$12:$B$15,D45)*Assumptions!$B$16</f>
        <v>1.4</v>
      </c>
      <c r="K45" s="82">
        <f t="shared" si="0"/>
        <v>158900</v>
      </c>
      <c r="L45" s="100">
        <f>IF(E45="Yes",MAX(0,Assumptions!$B$8-G45+1),0)</f>
        <v>8</v>
      </c>
      <c r="M45" s="82">
        <f t="shared" si="1"/>
        <v>105933.33333333333</v>
      </c>
      <c r="N45" s="100">
        <f>MIN(1,SUMIFS(Roster!$N$5:$N$1504,Roster!$B$5:$B$1504,$A45))</f>
        <v>1</v>
      </c>
      <c r="O45" s="100">
        <f>SUMIFS(Roster!$L$5:$L$1504,Roster!$B$5:$B$1504,$A45)</f>
        <v>8</v>
      </c>
      <c r="P45" s="83">
        <f>SUMIFS(Roster!$M$5:$M$1504,Roster!$B$5:$B$1504,$A45)*J45</f>
        <v>105746.66666666666</v>
      </c>
      <c r="Q45" s="83">
        <f>SUMIFS(Roster!$O$5:$O$1504,Roster!$B$5:$B$1504,$A45)*J45</f>
        <v>158620</v>
      </c>
      <c r="R45" s="82">
        <f t="shared" si="2"/>
        <v>158620</v>
      </c>
      <c r="S45" s="82">
        <f t="shared" si="3"/>
        <v>0</v>
      </c>
      <c r="T45" s="82">
        <f t="shared" si="4"/>
        <v>186.66666666667152</v>
      </c>
      <c r="U45" s="82">
        <f t="shared" si="5"/>
        <v>0</v>
      </c>
      <c r="V45" s="83">
        <f>IF(COUNTIFS(Roster!$B$5:$B$1504,$A45,Roster!$G$5:$G$1504,"&gt;0")=0,0,SUMIFS(Roster!$H$5:$H$1504,Roster!$B$5:$B$1504,$A45,Roster!$G$5:$G$1504,_xlfn.MAXIFS(Roster!$G$5:$G$1504,Roster!$B$5:$B$1504,$A45)))</f>
        <v>0</v>
      </c>
      <c r="W45" s="101" t="str">
        <f t="shared" si="6"/>
        <v>Filled</v>
      </c>
    </row>
    <row r="46" spans="1:23" x14ac:dyDescent="0.25">
      <c r="A46" s="76" t="s">
        <v>443</v>
      </c>
      <c r="B46" s="76" t="s">
        <v>353</v>
      </c>
      <c r="C46" s="76" t="s">
        <v>405</v>
      </c>
      <c r="D46" s="97">
        <v>1</v>
      </c>
      <c r="E46" s="98" t="s">
        <v>325</v>
      </c>
      <c r="F46" s="78">
        <v>64000</v>
      </c>
      <c r="G46" s="97">
        <v>1</v>
      </c>
      <c r="H46" s="98" t="s">
        <v>399</v>
      </c>
      <c r="J46" s="99">
        <f>1+Assumptions!$B$11+INDEX(Assumptions!$B$12:$B$15,D46)*Assumptions!$B$16</f>
        <v>1.3</v>
      </c>
      <c r="K46" s="82">
        <f t="shared" si="0"/>
        <v>83200</v>
      </c>
      <c r="L46" s="100">
        <f>IF(E46="Yes",MAX(0,Assumptions!$B$8-G46+1),0)</f>
        <v>8</v>
      </c>
      <c r="M46" s="82">
        <f t="shared" si="1"/>
        <v>55466.666666666664</v>
      </c>
      <c r="N46" s="100">
        <f>MIN(1,SUMIFS(Roster!$N$5:$N$1504,Roster!$B$5:$B$1504,$A46))</f>
        <v>1</v>
      </c>
      <c r="O46" s="100">
        <f>SUMIFS(Roster!$L$5:$L$1504,Roster!$B$5:$B$1504,$A46)</f>
        <v>8</v>
      </c>
      <c r="P46" s="83">
        <f>SUMIFS(Roster!$M$5:$M$1504,Roster!$B$5:$B$1504,$A46)*J46</f>
        <v>55726.666666666664</v>
      </c>
      <c r="Q46" s="83">
        <f>SUMIFS(Roster!$O$5:$O$1504,Roster!$B$5:$B$1504,$A46)*J46</f>
        <v>83590</v>
      </c>
      <c r="R46" s="82">
        <f t="shared" si="2"/>
        <v>83590</v>
      </c>
      <c r="S46" s="82">
        <f t="shared" si="3"/>
        <v>0</v>
      </c>
      <c r="T46" s="82">
        <f t="shared" si="4"/>
        <v>-260</v>
      </c>
      <c r="U46" s="82">
        <f t="shared" si="5"/>
        <v>0</v>
      </c>
      <c r="V46" s="83">
        <f>IF(COUNTIFS(Roster!$B$5:$B$1504,$A46,Roster!$G$5:$G$1504,"&gt;0")=0,0,SUMIFS(Roster!$H$5:$H$1504,Roster!$B$5:$B$1504,$A46,Roster!$G$5:$G$1504,_xlfn.MAXIFS(Roster!$G$5:$G$1504,Roster!$B$5:$B$1504,$A46)))</f>
        <v>0</v>
      </c>
      <c r="W46" s="101" t="str">
        <f t="shared" si="6"/>
        <v>Filled</v>
      </c>
    </row>
    <row r="47" spans="1:23" x14ac:dyDescent="0.25">
      <c r="A47" s="76" t="s">
        <v>444</v>
      </c>
      <c r="B47" s="76" t="s">
        <v>353</v>
      </c>
      <c r="C47" s="76" t="s">
        <v>398</v>
      </c>
      <c r="D47" s="97">
        <v>3</v>
      </c>
      <c r="E47" s="98" t="s">
        <v>325</v>
      </c>
      <c r="F47" s="78">
        <v>121000</v>
      </c>
      <c r="G47" s="97">
        <v>1</v>
      </c>
      <c r="H47" s="98" t="s">
        <v>399</v>
      </c>
      <c r="J47" s="99">
        <f>1+Assumptions!$B$11+INDEX(Assumptions!$B$12:$B$15,D47)*Assumptions!$B$16</f>
        <v>1.4</v>
      </c>
      <c r="K47" s="82">
        <f t="shared" si="0"/>
        <v>169400</v>
      </c>
      <c r="L47" s="100">
        <f>IF(E47="Yes",MAX(0,Assumptions!$B$8-G47+1),0)</f>
        <v>8</v>
      </c>
      <c r="M47" s="82">
        <f t="shared" si="1"/>
        <v>112933.33333333333</v>
      </c>
      <c r="N47" s="100">
        <f>MIN(1,SUMIFS(Roster!$N$5:$N$1504,Roster!$B$5:$B$1504,$A47))</f>
        <v>1</v>
      </c>
      <c r="O47" s="100">
        <f>SUMIFS(Roster!$L$5:$L$1504,Roster!$B$5:$B$1504,$A47)</f>
        <v>8</v>
      </c>
      <c r="P47" s="83">
        <f>SUMIFS(Roster!$M$5:$M$1504,Roster!$B$5:$B$1504,$A47)*J47</f>
        <v>113306.66666666666</v>
      </c>
      <c r="Q47" s="83">
        <f>SUMIFS(Roster!$O$5:$O$1504,Roster!$B$5:$B$1504,$A47)*J47</f>
        <v>169960</v>
      </c>
      <c r="R47" s="82">
        <f t="shared" si="2"/>
        <v>169960</v>
      </c>
      <c r="S47" s="82">
        <f t="shared" si="3"/>
        <v>0</v>
      </c>
      <c r="T47" s="82">
        <f t="shared" si="4"/>
        <v>-373.33333333332848</v>
      </c>
      <c r="U47" s="82">
        <f t="shared" si="5"/>
        <v>0</v>
      </c>
      <c r="V47" s="83">
        <f>IF(COUNTIFS(Roster!$B$5:$B$1504,$A47,Roster!$G$5:$G$1504,"&gt;0")=0,0,SUMIFS(Roster!$H$5:$H$1504,Roster!$B$5:$B$1504,$A47,Roster!$G$5:$G$1504,_xlfn.MAXIFS(Roster!$G$5:$G$1504,Roster!$B$5:$B$1504,$A47)))</f>
        <v>0</v>
      </c>
      <c r="W47" s="101" t="str">
        <f t="shared" si="6"/>
        <v>Filled</v>
      </c>
    </row>
    <row r="48" spans="1:23" x14ac:dyDescent="0.25">
      <c r="A48" s="76" t="s">
        <v>445</v>
      </c>
      <c r="B48" s="76" t="s">
        <v>353</v>
      </c>
      <c r="C48" s="76" t="s">
        <v>446</v>
      </c>
      <c r="D48" s="97">
        <v>4</v>
      </c>
      <c r="E48" s="98" t="s">
        <v>325</v>
      </c>
      <c r="F48" s="78">
        <v>193000</v>
      </c>
      <c r="G48" s="97">
        <v>1</v>
      </c>
      <c r="H48" s="98" t="s">
        <v>399</v>
      </c>
      <c r="J48" s="99">
        <f>1+Assumptions!$B$11+INDEX(Assumptions!$B$12:$B$15,D48)*Assumptions!$B$16</f>
        <v>1.5</v>
      </c>
      <c r="K48" s="82">
        <f t="shared" si="0"/>
        <v>289500</v>
      </c>
      <c r="L48" s="100">
        <f>IF(E48="Yes",MAX(0,Assumptions!$B$8-G48+1),0)</f>
        <v>8</v>
      </c>
      <c r="M48" s="82">
        <f t="shared" si="1"/>
        <v>193000</v>
      </c>
      <c r="N48" s="100">
        <f>MIN(1,SUMIFS(Roster!$N$5:$N$1504,Roster!$B$5:$B$1504,$A48))</f>
        <v>1</v>
      </c>
      <c r="O48" s="100">
        <f>SUMIFS(Roster!$L$5:$L$1504,Roster!$B$5:$B$1504,$A48)</f>
        <v>8</v>
      </c>
      <c r="P48" s="83">
        <f>SUMIFS(Roster!$M$5:$M$1504,Roster!$B$5:$B$1504,$A48)*J48</f>
        <v>192700</v>
      </c>
      <c r="Q48" s="83">
        <f>SUMIFS(Roster!$O$5:$O$1504,Roster!$B$5:$B$1504,$A48)*J48</f>
        <v>289050</v>
      </c>
      <c r="R48" s="82">
        <f t="shared" si="2"/>
        <v>289050</v>
      </c>
      <c r="S48" s="82">
        <f t="shared" si="3"/>
        <v>0</v>
      </c>
      <c r="T48" s="82">
        <f t="shared" si="4"/>
        <v>300</v>
      </c>
      <c r="U48" s="82">
        <f t="shared" si="5"/>
        <v>0</v>
      </c>
      <c r="V48" s="83">
        <f>IF(COUNTIFS(Roster!$B$5:$B$1504,$A48,Roster!$G$5:$G$1504,"&gt;0")=0,0,SUMIFS(Roster!$H$5:$H$1504,Roster!$B$5:$B$1504,$A48,Roster!$G$5:$G$1504,_xlfn.MAXIFS(Roster!$G$5:$G$1504,Roster!$B$5:$B$1504,$A48)))</f>
        <v>0</v>
      </c>
      <c r="W48" s="101" t="str">
        <f t="shared" si="6"/>
        <v>Filled</v>
      </c>
    </row>
    <row r="49" spans="1:23" x14ac:dyDescent="0.25">
      <c r="A49" s="76" t="s">
        <v>447</v>
      </c>
      <c r="B49" s="76" t="s">
        <v>353</v>
      </c>
      <c r="C49" s="76" t="s">
        <v>407</v>
      </c>
      <c r="D49" s="97">
        <v>1</v>
      </c>
      <c r="E49" s="98" t="s">
        <v>325</v>
      </c>
      <c r="F49" s="78">
        <v>54000</v>
      </c>
      <c r="G49" s="97">
        <v>1</v>
      </c>
      <c r="H49" s="98" t="s">
        <v>399</v>
      </c>
      <c r="J49" s="99">
        <f>1+Assumptions!$B$11+INDEX(Assumptions!$B$12:$B$15,D49)*Assumptions!$B$16</f>
        <v>1.3</v>
      </c>
      <c r="K49" s="82">
        <f t="shared" si="0"/>
        <v>70200</v>
      </c>
      <c r="L49" s="100">
        <f>IF(E49="Yes",MAX(0,Assumptions!$B$8-G49+1),0)</f>
        <v>8</v>
      </c>
      <c r="M49" s="82">
        <f t="shared" si="1"/>
        <v>46800</v>
      </c>
      <c r="N49" s="100">
        <f>MIN(1,SUMIFS(Roster!$N$5:$N$1504,Roster!$B$5:$B$1504,$A49))</f>
        <v>1</v>
      </c>
      <c r="O49" s="100">
        <f>SUMIFS(Roster!$L$5:$L$1504,Roster!$B$5:$B$1504,$A49)</f>
        <v>8</v>
      </c>
      <c r="P49" s="83">
        <f>SUMIFS(Roster!$M$5:$M$1504,Roster!$B$5:$B$1504,$A49)*J49</f>
        <v>46886.666666666664</v>
      </c>
      <c r="Q49" s="83">
        <f>SUMIFS(Roster!$O$5:$O$1504,Roster!$B$5:$B$1504,$A49)*J49</f>
        <v>70330</v>
      </c>
      <c r="R49" s="82">
        <f t="shared" si="2"/>
        <v>70330</v>
      </c>
      <c r="S49" s="82">
        <f t="shared" si="3"/>
        <v>0</v>
      </c>
      <c r="T49" s="82">
        <f t="shared" si="4"/>
        <v>-86.666666666664241</v>
      </c>
      <c r="U49" s="82">
        <f t="shared" si="5"/>
        <v>0</v>
      </c>
      <c r="V49" s="83">
        <f>IF(COUNTIFS(Roster!$B$5:$B$1504,$A49,Roster!$G$5:$G$1504,"&gt;0")=0,0,SUMIFS(Roster!$H$5:$H$1504,Roster!$B$5:$B$1504,$A49,Roster!$G$5:$G$1504,_xlfn.MAXIFS(Roster!$G$5:$G$1504,Roster!$B$5:$B$1504,$A49)))</f>
        <v>0</v>
      </c>
      <c r="W49" s="101" t="str">
        <f t="shared" si="6"/>
        <v>Filled</v>
      </c>
    </row>
    <row r="50" spans="1:23" x14ac:dyDescent="0.25">
      <c r="A50" s="76" t="s">
        <v>448</v>
      </c>
      <c r="B50" s="76" t="s">
        <v>353</v>
      </c>
      <c r="C50" s="76" t="s">
        <v>398</v>
      </c>
      <c r="D50" s="97">
        <v>3</v>
      </c>
      <c r="E50" s="98" t="s">
        <v>325</v>
      </c>
      <c r="F50" s="78">
        <v>130000</v>
      </c>
      <c r="G50" s="97">
        <v>1</v>
      </c>
      <c r="H50" s="98" t="s">
        <v>399</v>
      </c>
      <c r="J50" s="99">
        <f>1+Assumptions!$B$11+INDEX(Assumptions!$B$12:$B$15,D50)*Assumptions!$B$16</f>
        <v>1.4</v>
      </c>
      <c r="K50" s="82">
        <f t="shared" si="0"/>
        <v>182000</v>
      </c>
      <c r="L50" s="100">
        <f>IF(E50="Yes",MAX(0,Assumptions!$B$8-G50+1),0)</f>
        <v>8</v>
      </c>
      <c r="M50" s="82">
        <f t="shared" si="1"/>
        <v>121333.33333333333</v>
      </c>
      <c r="N50" s="100">
        <f>MIN(1,SUMIFS(Roster!$N$5:$N$1504,Roster!$B$5:$B$1504,$A50))</f>
        <v>1</v>
      </c>
      <c r="O50" s="100">
        <f>SUMIFS(Roster!$L$5:$L$1504,Roster!$B$5:$B$1504,$A50)</f>
        <v>8</v>
      </c>
      <c r="P50" s="83">
        <f>SUMIFS(Roster!$M$5:$M$1504,Roster!$B$5:$B$1504,$A50)*J50</f>
        <v>120026.66666666666</v>
      </c>
      <c r="Q50" s="83">
        <f>SUMIFS(Roster!$O$5:$O$1504,Roster!$B$5:$B$1504,$A50)*J50</f>
        <v>180040</v>
      </c>
      <c r="R50" s="82">
        <f t="shared" si="2"/>
        <v>180040</v>
      </c>
      <c r="S50" s="82">
        <f t="shared" si="3"/>
        <v>0</v>
      </c>
      <c r="T50" s="82">
        <f t="shared" si="4"/>
        <v>1306.6666666666715</v>
      </c>
      <c r="U50" s="82">
        <f t="shared" si="5"/>
        <v>0</v>
      </c>
      <c r="V50" s="83">
        <f>IF(COUNTIFS(Roster!$B$5:$B$1504,$A50,Roster!$G$5:$G$1504,"&gt;0")=0,0,SUMIFS(Roster!$H$5:$H$1504,Roster!$B$5:$B$1504,$A50,Roster!$G$5:$G$1504,_xlfn.MAXIFS(Roster!$G$5:$G$1504,Roster!$B$5:$B$1504,$A50)))</f>
        <v>0</v>
      </c>
      <c r="W50" s="101" t="str">
        <f t="shared" si="6"/>
        <v>Filled</v>
      </c>
    </row>
    <row r="51" spans="1:23" x14ac:dyDescent="0.25">
      <c r="A51" s="76" t="s">
        <v>449</v>
      </c>
      <c r="B51" s="76" t="s">
        <v>353</v>
      </c>
      <c r="C51" s="76" t="s">
        <v>401</v>
      </c>
      <c r="D51" s="97">
        <v>2</v>
      </c>
      <c r="E51" s="98" t="s">
        <v>325</v>
      </c>
      <c r="F51" s="78">
        <v>92000</v>
      </c>
      <c r="G51" s="97">
        <v>1</v>
      </c>
      <c r="H51" s="98" t="s">
        <v>399</v>
      </c>
      <c r="J51" s="99">
        <f>1+Assumptions!$B$11+INDEX(Assumptions!$B$12:$B$15,D51)*Assumptions!$B$16</f>
        <v>1.35</v>
      </c>
      <c r="K51" s="82">
        <f t="shared" si="0"/>
        <v>124200.00000000001</v>
      </c>
      <c r="L51" s="100">
        <f>IF(E51="Yes",MAX(0,Assumptions!$B$8-G51+1),0)</f>
        <v>8</v>
      </c>
      <c r="M51" s="82">
        <f t="shared" si="1"/>
        <v>82800.000000000015</v>
      </c>
      <c r="N51" s="100">
        <f>MIN(1,SUMIFS(Roster!$N$5:$N$1504,Roster!$B$5:$B$1504,$A51))</f>
        <v>1</v>
      </c>
      <c r="O51" s="100">
        <f>SUMIFS(Roster!$L$5:$L$1504,Roster!$B$5:$B$1504,$A51)</f>
        <v>8</v>
      </c>
      <c r="P51" s="83">
        <f>SUMIFS(Roster!$M$5:$M$1504,Roster!$B$5:$B$1504,$A51)*J51</f>
        <v>81540</v>
      </c>
      <c r="Q51" s="83">
        <f>SUMIFS(Roster!$O$5:$O$1504,Roster!$B$5:$B$1504,$A51)*J51</f>
        <v>122310.00000000001</v>
      </c>
      <c r="R51" s="82">
        <f t="shared" si="2"/>
        <v>122310.00000000001</v>
      </c>
      <c r="S51" s="82">
        <f t="shared" si="3"/>
        <v>0</v>
      </c>
      <c r="T51" s="82">
        <f t="shared" si="4"/>
        <v>1260.0000000000146</v>
      </c>
      <c r="U51" s="82">
        <f t="shared" si="5"/>
        <v>0</v>
      </c>
      <c r="V51" s="83">
        <f>IF(COUNTIFS(Roster!$B$5:$B$1504,$A51,Roster!$G$5:$G$1504,"&gt;0")=0,0,SUMIFS(Roster!$H$5:$H$1504,Roster!$B$5:$B$1504,$A51,Roster!$G$5:$G$1504,_xlfn.MAXIFS(Roster!$G$5:$G$1504,Roster!$B$5:$B$1504,$A51)))</f>
        <v>0</v>
      </c>
      <c r="W51" s="101" t="str">
        <f t="shared" si="6"/>
        <v>Filled</v>
      </c>
    </row>
    <row r="52" spans="1:23" x14ac:dyDescent="0.25">
      <c r="A52" s="76" t="s">
        <v>450</v>
      </c>
      <c r="B52" s="76" t="s">
        <v>353</v>
      </c>
      <c r="C52" s="76" t="s">
        <v>405</v>
      </c>
      <c r="D52" s="97">
        <v>1</v>
      </c>
      <c r="E52" s="98" t="s">
        <v>325</v>
      </c>
      <c r="F52" s="78">
        <v>61000</v>
      </c>
      <c r="G52" s="97">
        <v>1</v>
      </c>
      <c r="H52" s="98" t="s">
        <v>399</v>
      </c>
      <c r="J52" s="99">
        <f>1+Assumptions!$B$11+INDEX(Assumptions!$B$12:$B$15,D52)*Assumptions!$B$16</f>
        <v>1.3</v>
      </c>
      <c r="K52" s="82">
        <f t="shared" si="0"/>
        <v>79300</v>
      </c>
      <c r="L52" s="100">
        <f>IF(E52="Yes",MAX(0,Assumptions!$B$8-G52+1),0)</f>
        <v>8</v>
      </c>
      <c r="M52" s="82">
        <f t="shared" si="1"/>
        <v>52866.666666666664</v>
      </c>
      <c r="N52" s="100">
        <f>MIN(1,SUMIFS(Roster!$N$5:$N$1504,Roster!$B$5:$B$1504,$A52))</f>
        <v>1</v>
      </c>
      <c r="O52" s="100">
        <f>SUMIFS(Roster!$L$5:$L$1504,Roster!$B$5:$B$1504,$A52)</f>
        <v>8</v>
      </c>
      <c r="P52" s="83">
        <f>SUMIFS(Roster!$M$5:$M$1504,Roster!$B$5:$B$1504,$A52)*J52</f>
        <v>53473.333333333336</v>
      </c>
      <c r="Q52" s="83">
        <f>SUMIFS(Roster!$O$5:$O$1504,Roster!$B$5:$B$1504,$A52)*J52</f>
        <v>80210</v>
      </c>
      <c r="R52" s="82">
        <f t="shared" si="2"/>
        <v>80210</v>
      </c>
      <c r="S52" s="82">
        <f t="shared" si="3"/>
        <v>0</v>
      </c>
      <c r="T52" s="82">
        <f t="shared" si="4"/>
        <v>-606.66666666667152</v>
      </c>
      <c r="U52" s="82">
        <f t="shared" si="5"/>
        <v>0</v>
      </c>
      <c r="V52" s="83">
        <f>IF(COUNTIFS(Roster!$B$5:$B$1504,$A52,Roster!$G$5:$G$1504,"&gt;0")=0,0,SUMIFS(Roster!$H$5:$H$1504,Roster!$B$5:$B$1504,$A52,Roster!$G$5:$G$1504,_xlfn.MAXIFS(Roster!$G$5:$G$1504,Roster!$B$5:$B$1504,$A52)))</f>
        <v>0</v>
      </c>
      <c r="W52" s="101" t="str">
        <f t="shared" si="6"/>
        <v>Filled</v>
      </c>
    </row>
    <row r="53" spans="1:23" x14ac:dyDescent="0.25">
      <c r="A53" s="76" t="s">
        <v>451</v>
      </c>
      <c r="B53" s="76" t="s">
        <v>353</v>
      </c>
      <c r="C53" s="76" t="s">
        <v>398</v>
      </c>
      <c r="D53" s="97">
        <v>3</v>
      </c>
      <c r="E53" s="98" t="s">
        <v>325</v>
      </c>
      <c r="F53" s="78">
        <v>103500</v>
      </c>
      <c r="G53" s="97">
        <v>1</v>
      </c>
      <c r="H53" s="98" t="s">
        <v>399</v>
      </c>
      <c r="J53" s="99">
        <f>1+Assumptions!$B$11+INDEX(Assumptions!$B$12:$B$15,D53)*Assumptions!$B$16</f>
        <v>1.4</v>
      </c>
      <c r="K53" s="82">
        <f t="shared" si="0"/>
        <v>144900</v>
      </c>
      <c r="L53" s="100">
        <f>IF(E53="Yes",MAX(0,Assumptions!$B$8-G53+1),0)</f>
        <v>8</v>
      </c>
      <c r="M53" s="82">
        <f t="shared" si="1"/>
        <v>96600</v>
      </c>
      <c r="N53" s="100">
        <f>MIN(1,SUMIFS(Roster!$N$5:$N$1504,Roster!$B$5:$B$1504,$A53))</f>
        <v>1</v>
      </c>
      <c r="O53" s="100">
        <f>SUMIFS(Roster!$L$5:$L$1504,Roster!$B$5:$B$1504,$A53)</f>
        <v>8</v>
      </c>
      <c r="P53" s="83">
        <f>SUMIFS(Roster!$M$5:$M$1504,Roster!$B$5:$B$1504,$A53)*J53</f>
        <v>97813.333333333328</v>
      </c>
      <c r="Q53" s="83">
        <f>SUMIFS(Roster!$O$5:$O$1504,Roster!$B$5:$B$1504,$A53)*J53</f>
        <v>146720</v>
      </c>
      <c r="R53" s="82">
        <f t="shared" si="2"/>
        <v>146720</v>
      </c>
      <c r="S53" s="82">
        <f t="shared" si="3"/>
        <v>0</v>
      </c>
      <c r="T53" s="82">
        <f t="shared" si="4"/>
        <v>-1213.3333333333285</v>
      </c>
      <c r="U53" s="82">
        <f t="shared" si="5"/>
        <v>0</v>
      </c>
      <c r="V53" s="83">
        <f>IF(COUNTIFS(Roster!$B$5:$B$1504,$A53,Roster!$G$5:$G$1504,"&gt;0")=0,0,SUMIFS(Roster!$H$5:$H$1504,Roster!$B$5:$B$1504,$A53,Roster!$G$5:$G$1504,_xlfn.MAXIFS(Roster!$G$5:$G$1504,Roster!$B$5:$B$1504,$A53)))</f>
        <v>0</v>
      </c>
      <c r="W53" s="101" t="str">
        <f t="shared" si="6"/>
        <v>Filled</v>
      </c>
    </row>
    <row r="54" spans="1:23" x14ac:dyDescent="0.25">
      <c r="A54" s="76" t="s">
        <v>452</v>
      </c>
      <c r="B54" s="76" t="s">
        <v>353</v>
      </c>
      <c r="C54" s="76" t="s">
        <v>407</v>
      </c>
      <c r="D54" s="97">
        <v>1</v>
      </c>
      <c r="E54" s="98" t="s">
        <v>325</v>
      </c>
      <c r="F54" s="78">
        <v>65500</v>
      </c>
      <c r="G54" s="97">
        <v>1</v>
      </c>
      <c r="H54" s="98" t="s">
        <v>399</v>
      </c>
      <c r="J54" s="99">
        <f>1+Assumptions!$B$11+INDEX(Assumptions!$B$12:$B$15,D54)*Assumptions!$B$16</f>
        <v>1.3</v>
      </c>
      <c r="K54" s="82">
        <f t="shared" si="0"/>
        <v>85150</v>
      </c>
      <c r="L54" s="100">
        <f>IF(E54="Yes",MAX(0,Assumptions!$B$8-G54+1),0)</f>
        <v>8</v>
      </c>
      <c r="M54" s="82">
        <f t="shared" si="1"/>
        <v>56766.666666666664</v>
      </c>
      <c r="N54" s="100">
        <f>MIN(1,SUMIFS(Roster!$N$5:$N$1504,Roster!$B$5:$B$1504,$A54))</f>
        <v>1</v>
      </c>
      <c r="O54" s="100">
        <f>SUMIFS(Roster!$L$5:$L$1504,Roster!$B$5:$B$1504,$A54)</f>
        <v>8</v>
      </c>
      <c r="P54" s="83">
        <f>SUMIFS(Roster!$M$5:$M$1504,Roster!$B$5:$B$1504,$A54)*J54</f>
        <v>56853.333333333336</v>
      </c>
      <c r="Q54" s="83">
        <f>SUMIFS(Roster!$O$5:$O$1504,Roster!$B$5:$B$1504,$A54)*J54</f>
        <v>85280</v>
      </c>
      <c r="R54" s="82">
        <f t="shared" si="2"/>
        <v>85280</v>
      </c>
      <c r="S54" s="82">
        <f t="shared" si="3"/>
        <v>0</v>
      </c>
      <c r="T54" s="82">
        <f t="shared" si="4"/>
        <v>-86.666666666671517</v>
      </c>
      <c r="U54" s="82">
        <f t="shared" si="5"/>
        <v>0</v>
      </c>
      <c r="V54" s="83">
        <f>IF(COUNTIFS(Roster!$B$5:$B$1504,$A54,Roster!$G$5:$G$1504,"&gt;0")=0,0,SUMIFS(Roster!$H$5:$H$1504,Roster!$B$5:$B$1504,$A54,Roster!$G$5:$G$1504,_xlfn.MAXIFS(Roster!$G$5:$G$1504,Roster!$B$5:$B$1504,$A54)))</f>
        <v>0</v>
      </c>
      <c r="W54" s="101" t="str">
        <f t="shared" si="6"/>
        <v>Filled</v>
      </c>
    </row>
    <row r="55" spans="1:23" x14ac:dyDescent="0.25">
      <c r="A55" s="76" t="s">
        <v>453</v>
      </c>
      <c r="B55" s="76" t="s">
        <v>353</v>
      </c>
      <c r="C55" s="76" t="s">
        <v>407</v>
      </c>
      <c r="D55" s="97">
        <v>1</v>
      </c>
      <c r="E55" s="98" t="s">
        <v>325</v>
      </c>
      <c r="F55" s="78">
        <v>52000</v>
      </c>
      <c r="G55" s="97">
        <v>1</v>
      </c>
      <c r="H55" s="98" t="s">
        <v>399</v>
      </c>
      <c r="J55" s="99">
        <f>1+Assumptions!$B$11+INDEX(Assumptions!$B$12:$B$15,D55)*Assumptions!$B$16</f>
        <v>1.3</v>
      </c>
      <c r="K55" s="82">
        <f t="shared" si="0"/>
        <v>67600</v>
      </c>
      <c r="L55" s="100">
        <f>IF(E55="Yes",MAX(0,Assumptions!$B$8-G55+1),0)</f>
        <v>8</v>
      </c>
      <c r="M55" s="82">
        <f t="shared" si="1"/>
        <v>45066.666666666664</v>
      </c>
      <c r="N55" s="100">
        <f>MIN(1,SUMIFS(Roster!$N$5:$N$1504,Roster!$B$5:$B$1504,$A55))</f>
        <v>1</v>
      </c>
      <c r="O55" s="100">
        <f>SUMIFS(Roster!$L$5:$L$1504,Roster!$B$5:$B$1504,$A55)</f>
        <v>6</v>
      </c>
      <c r="P55" s="83">
        <f>SUMIFS(Roster!$M$5:$M$1504,Roster!$B$5:$B$1504,$A55)*J55</f>
        <v>34146.666666666664</v>
      </c>
      <c r="Q55" s="83">
        <f>SUMIFS(Roster!$O$5:$O$1504,Roster!$B$5:$B$1504,$A55)*J55</f>
        <v>68250</v>
      </c>
      <c r="R55" s="82">
        <f t="shared" si="2"/>
        <v>68250</v>
      </c>
      <c r="S55" s="82">
        <f t="shared" si="3"/>
        <v>11266.666666666666</v>
      </c>
      <c r="T55" s="82">
        <f t="shared" si="4"/>
        <v>-346.66666666666424</v>
      </c>
      <c r="U55" s="82">
        <f t="shared" si="5"/>
        <v>0</v>
      </c>
      <c r="V55" s="83">
        <f>IF(COUNTIFS(Roster!$B$5:$B$1504,$A55,Roster!$G$5:$G$1504,"&gt;0")=0,0,SUMIFS(Roster!$H$5:$H$1504,Roster!$B$5:$B$1504,$A55,Roster!$G$5:$G$1504,_xlfn.MAXIFS(Roster!$G$5:$G$1504,Roster!$B$5:$B$1504,$A55)))</f>
        <v>52600</v>
      </c>
      <c r="W55" s="101" t="str">
        <f t="shared" si="6"/>
        <v>Filled</v>
      </c>
    </row>
    <row r="56" spans="1:23" x14ac:dyDescent="0.25">
      <c r="A56" s="76" t="s">
        <v>454</v>
      </c>
      <c r="B56" s="76" t="s">
        <v>353</v>
      </c>
      <c r="C56" s="76" t="s">
        <v>405</v>
      </c>
      <c r="D56" s="97">
        <v>1</v>
      </c>
      <c r="E56" s="98" t="s">
        <v>325</v>
      </c>
      <c r="F56" s="78">
        <v>61000</v>
      </c>
      <c r="G56" s="97">
        <v>1</v>
      </c>
      <c r="H56" s="98" t="s">
        <v>399</v>
      </c>
      <c r="J56" s="99">
        <f>1+Assumptions!$B$11+INDEX(Assumptions!$B$12:$B$15,D56)*Assumptions!$B$16</f>
        <v>1.3</v>
      </c>
      <c r="K56" s="82">
        <f t="shared" si="0"/>
        <v>79300</v>
      </c>
      <c r="L56" s="100">
        <f>IF(E56="Yes",MAX(0,Assumptions!$B$8-G56+1),0)</f>
        <v>8</v>
      </c>
      <c r="M56" s="82">
        <f t="shared" si="1"/>
        <v>52866.666666666664</v>
      </c>
      <c r="N56" s="100">
        <f>MIN(1,SUMIFS(Roster!$N$5:$N$1504,Roster!$B$5:$B$1504,$A56))</f>
        <v>1</v>
      </c>
      <c r="O56" s="100">
        <f>SUMIFS(Roster!$L$5:$L$1504,Roster!$B$5:$B$1504,$A56)</f>
        <v>8</v>
      </c>
      <c r="P56" s="83">
        <f>SUMIFS(Roster!$M$5:$M$1504,Roster!$B$5:$B$1504,$A56)*J56</f>
        <v>52866.666666666664</v>
      </c>
      <c r="Q56" s="83">
        <f>SUMIFS(Roster!$O$5:$O$1504,Roster!$B$5:$B$1504,$A56)*J56</f>
        <v>79300</v>
      </c>
      <c r="R56" s="82">
        <f t="shared" si="2"/>
        <v>79300</v>
      </c>
      <c r="S56" s="82">
        <f t="shared" si="3"/>
        <v>0</v>
      </c>
      <c r="T56" s="82">
        <f t="shared" si="4"/>
        <v>0</v>
      </c>
      <c r="U56" s="82">
        <f t="shared" si="5"/>
        <v>0</v>
      </c>
      <c r="V56" s="83">
        <f>IF(COUNTIFS(Roster!$B$5:$B$1504,$A56,Roster!$G$5:$G$1504,"&gt;0")=0,0,SUMIFS(Roster!$H$5:$H$1504,Roster!$B$5:$B$1504,$A56,Roster!$G$5:$G$1504,_xlfn.MAXIFS(Roster!$G$5:$G$1504,Roster!$B$5:$B$1504,$A56)))</f>
        <v>0</v>
      </c>
      <c r="W56" s="101" t="str">
        <f t="shared" si="6"/>
        <v>Filled</v>
      </c>
    </row>
    <row r="57" spans="1:23" x14ac:dyDescent="0.25">
      <c r="A57" s="76" t="s">
        <v>455</v>
      </c>
      <c r="B57" s="76" t="s">
        <v>353</v>
      </c>
      <c r="C57" s="76" t="s">
        <v>405</v>
      </c>
      <c r="D57" s="97">
        <v>1</v>
      </c>
      <c r="E57" s="98" t="s">
        <v>325</v>
      </c>
      <c r="F57" s="78">
        <v>63000</v>
      </c>
      <c r="G57" s="97">
        <v>1</v>
      </c>
      <c r="H57" s="98" t="s">
        <v>399</v>
      </c>
      <c r="J57" s="99">
        <f>1+Assumptions!$B$11+INDEX(Assumptions!$B$12:$B$15,D57)*Assumptions!$B$16</f>
        <v>1.3</v>
      </c>
      <c r="K57" s="82">
        <f t="shared" si="0"/>
        <v>81900</v>
      </c>
      <c r="L57" s="100">
        <f>IF(E57="Yes",MAX(0,Assumptions!$B$8-G57+1),0)</f>
        <v>8</v>
      </c>
      <c r="M57" s="82">
        <f t="shared" si="1"/>
        <v>54600</v>
      </c>
      <c r="N57" s="100">
        <f>MIN(1,SUMIFS(Roster!$N$5:$N$1504,Roster!$B$5:$B$1504,$A57))</f>
        <v>1</v>
      </c>
      <c r="O57" s="100">
        <f>SUMIFS(Roster!$L$5:$L$1504,Roster!$B$5:$B$1504,$A57)</f>
        <v>8</v>
      </c>
      <c r="P57" s="83">
        <f>SUMIFS(Roster!$M$5:$M$1504,Roster!$B$5:$B$1504,$A57)*J57</f>
        <v>54513.333333333336</v>
      </c>
      <c r="Q57" s="83">
        <f>SUMIFS(Roster!$O$5:$O$1504,Roster!$B$5:$B$1504,$A57)*J57</f>
        <v>81770</v>
      </c>
      <c r="R57" s="82">
        <f t="shared" si="2"/>
        <v>81770</v>
      </c>
      <c r="S57" s="82">
        <f t="shared" si="3"/>
        <v>0</v>
      </c>
      <c r="T57" s="82">
        <f t="shared" si="4"/>
        <v>86.666666666664241</v>
      </c>
      <c r="U57" s="82">
        <f t="shared" si="5"/>
        <v>0</v>
      </c>
      <c r="V57" s="83">
        <f>IF(COUNTIFS(Roster!$B$5:$B$1504,$A57,Roster!$G$5:$G$1504,"&gt;0")=0,0,SUMIFS(Roster!$H$5:$H$1504,Roster!$B$5:$B$1504,$A57,Roster!$G$5:$G$1504,_xlfn.MAXIFS(Roster!$G$5:$G$1504,Roster!$B$5:$B$1504,$A57)))</f>
        <v>0</v>
      </c>
      <c r="W57" s="101" t="str">
        <f t="shared" si="6"/>
        <v>Filled</v>
      </c>
    </row>
    <row r="58" spans="1:23" x14ac:dyDescent="0.25">
      <c r="A58" s="76" t="s">
        <v>456</v>
      </c>
      <c r="B58" s="76" t="s">
        <v>353</v>
      </c>
      <c r="C58" s="76" t="s">
        <v>405</v>
      </c>
      <c r="D58" s="97">
        <v>1</v>
      </c>
      <c r="E58" s="98" t="s">
        <v>325</v>
      </c>
      <c r="F58" s="78">
        <v>58500</v>
      </c>
      <c r="G58" s="97">
        <v>1</v>
      </c>
      <c r="H58" s="98" t="s">
        <v>399</v>
      </c>
      <c r="J58" s="99">
        <f>1+Assumptions!$B$11+INDEX(Assumptions!$B$12:$B$15,D58)*Assumptions!$B$16</f>
        <v>1.3</v>
      </c>
      <c r="K58" s="82">
        <f t="shared" si="0"/>
        <v>76050</v>
      </c>
      <c r="L58" s="100">
        <f>IF(E58="Yes",MAX(0,Assumptions!$B$8-G58+1),0)</f>
        <v>8</v>
      </c>
      <c r="M58" s="82">
        <f t="shared" si="1"/>
        <v>50700</v>
      </c>
      <c r="N58" s="100">
        <f>MIN(1,SUMIFS(Roster!$N$5:$N$1504,Roster!$B$5:$B$1504,$A58))</f>
        <v>1</v>
      </c>
      <c r="O58" s="100">
        <f>SUMIFS(Roster!$L$5:$L$1504,Roster!$B$5:$B$1504,$A58)</f>
        <v>8</v>
      </c>
      <c r="P58" s="83">
        <f>SUMIFS(Roster!$M$5:$M$1504,Roster!$B$5:$B$1504,$A58)*J58</f>
        <v>50786.666666666664</v>
      </c>
      <c r="Q58" s="83">
        <f>SUMIFS(Roster!$O$5:$O$1504,Roster!$B$5:$B$1504,$A58)*J58</f>
        <v>76180</v>
      </c>
      <c r="R58" s="82">
        <f t="shared" si="2"/>
        <v>76180</v>
      </c>
      <c r="S58" s="82">
        <f t="shared" si="3"/>
        <v>0</v>
      </c>
      <c r="T58" s="82">
        <f t="shared" si="4"/>
        <v>-86.666666666664241</v>
      </c>
      <c r="U58" s="82">
        <f t="shared" si="5"/>
        <v>0</v>
      </c>
      <c r="V58" s="83">
        <f>IF(COUNTIFS(Roster!$B$5:$B$1504,$A58,Roster!$G$5:$G$1504,"&gt;0")=0,0,SUMIFS(Roster!$H$5:$H$1504,Roster!$B$5:$B$1504,$A58,Roster!$G$5:$G$1504,_xlfn.MAXIFS(Roster!$G$5:$G$1504,Roster!$B$5:$B$1504,$A58)))</f>
        <v>0</v>
      </c>
      <c r="W58" s="101" t="str">
        <f t="shared" si="6"/>
        <v>Filled</v>
      </c>
    </row>
    <row r="59" spans="1:23" x14ac:dyDescent="0.25">
      <c r="A59" s="76" t="s">
        <v>457</v>
      </c>
      <c r="B59" s="76" t="s">
        <v>353</v>
      </c>
      <c r="C59" s="76" t="s">
        <v>407</v>
      </c>
      <c r="D59" s="97">
        <v>1</v>
      </c>
      <c r="E59" s="98" t="s">
        <v>325</v>
      </c>
      <c r="F59" s="78">
        <v>56000</v>
      </c>
      <c r="G59" s="97">
        <v>1</v>
      </c>
      <c r="H59" s="98" t="s">
        <v>399</v>
      </c>
      <c r="J59" s="99">
        <f>1+Assumptions!$B$11+INDEX(Assumptions!$B$12:$B$15,D59)*Assumptions!$B$16</f>
        <v>1.3</v>
      </c>
      <c r="K59" s="82">
        <f t="shared" si="0"/>
        <v>72800</v>
      </c>
      <c r="L59" s="100">
        <f>IF(E59="Yes",MAX(0,Assumptions!$B$8-G59+1),0)</f>
        <v>8</v>
      </c>
      <c r="M59" s="82">
        <f t="shared" si="1"/>
        <v>48533.333333333336</v>
      </c>
      <c r="N59" s="100">
        <f>MIN(1,SUMIFS(Roster!$N$5:$N$1504,Roster!$B$5:$B$1504,$A59))</f>
        <v>1</v>
      </c>
      <c r="O59" s="100">
        <f>SUMIFS(Roster!$L$5:$L$1504,Roster!$B$5:$B$1504,$A59)</f>
        <v>8</v>
      </c>
      <c r="P59" s="83">
        <f>SUMIFS(Roster!$M$5:$M$1504,Roster!$B$5:$B$1504,$A59)*J59</f>
        <v>49226.666666666664</v>
      </c>
      <c r="Q59" s="83">
        <f>SUMIFS(Roster!$O$5:$O$1504,Roster!$B$5:$B$1504,$A59)*J59</f>
        <v>73840</v>
      </c>
      <c r="R59" s="82">
        <f t="shared" si="2"/>
        <v>73840</v>
      </c>
      <c r="S59" s="82">
        <f t="shared" si="3"/>
        <v>0</v>
      </c>
      <c r="T59" s="82">
        <f t="shared" si="4"/>
        <v>-693.33333333332848</v>
      </c>
      <c r="U59" s="82">
        <f t="shared" si="5"/>
        <v>0</v>
      </c>
      <c r="V59" s="83">
        <f>IF(COUNTIFS(Roster!$B$5:$B$1504,$A59,Roster!$G$5:$G$1504,"&gt;0")=0,0,SUMIFS(Roster!$H$5:$H$1504,Roster!$B$5:$B$1504,$A59,Roster!$G$5:$G$1504,_xlfn.MAXIFS(Roster!$G$5:$G$1504,Roster!$B$5:$B$1504,$A59)))</f>
        <v>0</v>
      </c>
      <c r="W59" s="101" t="str">
        <f t="shared" si="6"/>
        <v>Filled</v>
      </c>
    </row>
    <row r="60" spans="1:23" x14ac:dyDescent="0.25">
      <c r="A60" s="76" t="s">
        <v>458</v>
      </c>
      <c r="B60" s="76" t="s">
        <v>353</v>
      </c>
      <c r="C60" s="76" t="s">
        <v>407</v>
      </c>
      <c r="D60" s="97">
        <v>1</v>
      </c>
      <c r="E60" s="98" t="s">
        <v>325</v>
      </c>
      <c r="F60" s="78">
        <v>65000</v>
      </c>
      <c r="G60" s="97">
        <v>1</v>
      </c>
      <c r="H60" s="98" t="s">
        <v>399</v>
      </c>
      <c r="J60" s="99">
        <f>1+Assumptions!$B$11+INDEX(Assumptions!$B$12:$B$15,D60)*Assumptions!$B$16</f>
        <v>1.3</v>
      </c>
      <c r="K60" s="82">
        <f t="shared" si="0"/>
        <v>84500</v>
      </c>
      <c r="L60" s="100">
        <f>IF(E60="Yes",MAX(0,Assumptions!$B$8-G60+1),0)</f>
        <v>8</v>
      </c>
      <c r="M60" s="82">
        <f t="shared" si="1"/>
        <v>56333.333333333336</v>
      </c>
      <c r="N60" s="100">
        <f>MIN(1,SUMIFS(Roster!$N$5:$N$1504,Roster!$B$5:$B$1504,$A60))</f>
        <v>1</v>
      </c>
      <c r="O60" s="100">
        <f>SUMIFS(Roster!$L$5:$L$1504,Roster!$B$5:$B$1504,$A60)</f>
        <v>8</v>
      </c>
      <c r="P60" s="83">
        <f>SUMIFS(Roster!$M$5:$M$1504,Roster!$B$5:$B$1504,$A60)*J60</f>
        <v>56246.666666666664</v>
      </c>
      <c r="Q60" s="83">
        <f>SUMIFS(Roster!$O$5:$O$1504,Roster!$B$5:$B$1504,$A60)*J60</f>
        <v>84370</v>
      </c>
      <c r="R60" s="82">
        <f t="shared" si="2"/>
        <v>84370</v>
      </c>
      <c r="S60" s="82">
        <f t="shared" si="3"/>
        <v>0</v>
      </c>
      <c r="T60" s="82">
        <f t="shared" si="4"/>
        <v>86.666666666671517</v>
      </c>
      <c r="U60" s="82">
        <f t="shared" si="5"/>
        <v>0</v>
      </c>
      <c r="V60" s="83">
        <f>IF(COUNTIFS(Roster!$B$5:$B$1504,$A60,Roster!$G$5:$G$1504,"&gt;0")=0,0,SUMIFS(Roster!$H$5:$H$1504,Roster!$B$5:$B$1504,$A60,Roster!$G$5:$G$1504,_xlfn.MAXIFS(Roster!$G$5:$G$1504,Roster!$B$5:$B$1504,$A60)))</f>
        <v>0</v>
      </c>
      <c r="W60" s="101" t="str">
        <f t="shared" si="6"/>
        <v>Filled</v>
      </c>
    </row>
    <row r="61" spans="1:23" x14ac:dyDescent="0.25">
      <c r="A61" s="76" t="s">
        <v>459</v>
      </c>
      <c r="B61" s="76" t="s">
        <v>353</v>
      </c>
      <c r="C61" s="76" t="s">
        <v>407</v>
      </c>
      <c r="D61" s="97">
        <v>1</v>
      </c>
      <c r="E61" s="98" t="s">
        <v>325</v>
      </c>
      <c r="F61" s="78">
        <v>55000</v>
      </c>
      <c r="G61" s="97">
        <v>1</v>
      </c>
      <c r="H61" s="98" t="s">
        <v>399</v>
      </c>
      <c r="J61" s="99">
        <f>1+Assumptions!$B$11+INDEX(Assumptions!$B$12:$B$15,D61)*Assumptions!$B$16</f>
        <v>1.3</v>
      </c>
      <c r="K61" s="82">
        <f t="shared" si="0"/>
        <v>71500</v>
      </c>
      <c r="L61" s="100">
        <f>IF(E61="Yes",MAX(0,Assumptions!$B$8-G61+1),0)</f>
        <v>8</v>
      </c>
      <c r="M61" s="82">
        <f t="shared" si="1"/>
        <v>47666.666666666664</v>
      </c>
      <c r="N61" s="100">
        <f>MIN(1,SUMIFS(Roster!$N$5:$N$1504,Roster!$B$5:$B$1504,$A61))</f>
        <v>1</v>
      </c>
      <c r="O61" s="100">
        <f>SUMIFS(Roster!$L$5:$L$1504,Roster!$B$5:$B$1504,$A61)</f>
        <v>8</v>
      </c>
      <c r="P61" s="83">
        <f>SUMIFS(Roster!$M$5:$M$1504,Roster!$B$5:$B$1504,$A61)*J61</f>
        <v>47580</v>
      </c>
      <c r="Q61" s="83">
        <f>SUMIFS(Roster!$O$5:$O$1504,Roster!$B$5:$B$1504,$A61)*J61</f>
        <v>71370</v>
      </c>
      <c r="R61" s="82">
        <f t="shared" si="2"/>
        <v>71370</v>
      </c>
      <c r="S61" s="82">
        <f t="shared" si="3"/>
        <v>0</v>
      </c>
      <c r="T61" s="82">
        <f t="shared" si="4"/>
        <v>86.666666666664241</v>
      </c>
      <c r="U61" s="82">
        <f t="shared" si="5"/>
        <v>0</v>
      </c>
      <c r="V61" s="83">
        <f>IF(COUNTIFS(Roster!$B$5:$B$1504,$A61,Roster!$G$5:$G$1504,"&gt;0")=0,0,SUMIFS(Roster!$H$5:$H$1504,Roster!$B$5:$B$1504,$A61,Roster!$G$5:$G$1504,_xlfn.MAXIFS(Roster!$G$5:$G$1504,Roster!$B$5:$B$1504,$A61)))</f>
        <v>0</v>
      </c>
      <c r="W61" s="101" t="str">
        <f t="shared" si="6"/>
        <v>Filled</v>
      </c>
    </row>
    <row r="62" spans="1:23" x14ac:dyDescent="0.25">
      <c r="A62" s="76" t="s">
        <v>460</v>
      </c>
      <c r="B62" s="76" t="s">
        <v>353</v>
      </c>
      <c r="C62" s="76" t="s">
        <v>401</v>
      </c>
      <c r="D62" s="97">
        <v>2</v>
      </c>
      <c r="E62" s="98" t="s">
        <v>325</v>
      </c>
      <c r="F62" s="78">
        <v>85000</v>
      </c>
      <c r="G62" s="97">
        <v>1</v>
      </c>
      <c r="H62" s="98" t="s">
        <v>399</v>
      </c>
      <c r="J62" s="99">
        <f>1+Assumptions!$B$11+INDEX(Assumptions!$B$12:$B$15,D62)*Assumptions!$B$16</f>
        <v>1.35</v>
      </c>
      <c r="K62" s="82">
        <f t="shared" si="0"/>
        <v>114750.00000000001</v>
      </c>
      <c r="L62" s="100">
        <f>IF(E62="Yes",MAX(0,Assumptions!$B$8-G62+1),0)</f>
        <v>8</v>
      </c>
      <c r="M62" s="82">
        <f t="shared" si="1"/>
        <v>76500.000000000015</v>
      </c>
      <c r="N62" s="100">
        <f>MIN(1,SUMIFS(Roster!$N$5:$N$1504,Roster!$B$5:$B$1504,$A62))</f>
        <v>1</v>
      </c>
      <c r="O62" s="100">
        <f>SUMIFS(Roster!$L$5:$L$1504,Roster!$B$5:$B$1504,$A62)</f>
        <v>8</v>
      </c>
      <c r="P62" s="83">
        <f>SUMIFS(Roster!$M$5:$M$1504,Roster!$B$5:$B$1504,$A62)*J62</f>
        <v>76230</v>
      </c>
      <c r="Q62" s="83">
        <f>SUMIFS(Roster!$O$5:$O$1504,Roster!$B$5:$B$1504,$A62)*J62</f>
        <v>114345.00000000001</v>
      </c>
      <c r="R62" s="82">
        <f t="shared" si="2"/>
        <v>114345.00000000001</v>
      </c>
      <c r="S62" s="82">
        <f t="shared" si="3"/>
        <v>0</v>
      </c>
      <c r="T62" s="82">
        <f t="shared" si="4"/>
        <v>270.00000000001455</v>
      </c>
      <c r="U62" s="82">
        <f t="shared" si="5"/>
        <v>0</v>
      </c>
      <c r="V62" s="83">
        <f>IF(COUNTIFS(Roster!$B$5:$B$1504,$A62,Roster!$G$5:$G$1504,"&gt;0")=0,0,SUMIFS(Roster!$H$5:$H$1504,Roster!$B$5:$B$1504,$A62,Roster!$G$5:$G$1504,_xlfn.MAXIFS(Roster!$G$5:$G$1504,Roster!$B$5:$B$1504,$A62)))</f>
        <v>0</v>
      </c>
      <c r="W62" s="101" t="str">
        <f t="shared" si="6"/>
        <v>Filled</v>
      </c>
    </row>
    <row r="63" spans="1:23" x14ac:dyDescent="0.25">
      <c r="A63" s="76" t="s">
        <v>461</v>
      </c>
      <c r="B63" s="76" t="s">
        <v>353</v>
      </c>
      <c r="C63" s="76" t="s">
        <v>405</v>
      </c>
      <c r="D63" s="97">
        <v>1</v>
      </c>
      <c r="E63" s="98" t="s">
        <v>325</v>
      </c>
      <c r="F63" s="78">
        <v>60500</v>
      </c>
      <c r="G63" s="97">
        <v>1</v>
      </c>
      <c r="H63" s="98" t="s">
        <v>399</v>
      </c>
      <c r="J63" s="99">
        <f>1+Assumptions!$B$11+INDEX(Assumptions!$B$12:$B$15,D63)*Assumptions!$B$16</f>
        <v>1.3</v>
      </c>
      <c r="K63" s="82">
        <f t="shared" si="0"/>
        <v>78650</v>
      </c>
      <c r="L63" s="100">
        <f>IF(E63="Yes",MAX(0,Assumptions!$B$8-G63+1),0)</f>
        <v>8</v>
      </c>
      <c r="M63" s="82">
        <f t="shared" si="1"/>
        <v>52433.333333333336</v>
      </c>
      <c r="N63" s="100">
        <f>MIN(1,SUMIFS(Roster!$N$5:$N$1504,Roster!$B$5:$B$1504,$A63))</f>
        <v>1</v>
      </c>
      <c r="O63" s="100">
        <f>SUMIFS(Roster!$L$5:$L$1504,Roster!$B$5:$B$1504,$A63)</f>
        <v>8</v>
      </c>
      <c r="P63" s="83">
        <f>SUMIFS(Roster!$M$5:$M$1504,Roster!$B$5:$B$1504,$A63)*J63</f>
        <v>52000</v>
      </c>
      <c r="Q63" s="83">
        <f>SUMIFS(Roster!$O$5:$O$1504,Roster!$B$5:$B$1504,$A63)*J63</f>
        <v>78000</v>
      </c>
      <c r="R63" s="82">
        <f t="shared" si="2"/>
        <v>78000</v>
      </c>
      <c r="S63" s="82">
        <f t="shared" si="3"/>
        <v>0</v>
      </c>
      <c r="T63" s="82">
        <f t="shared" si="4"/>
        <v>433.33333333333576</v>
      </c>
      <c r="U63" s="82">
        <f t="shared" si="5"/>
        <v>0</v>
      </c>
      <c r="V63" s="83">
        <f>IF(COUNTIFS(Roster!$B$5:$B$1504,$A63,Roster!$G$5:$G$1504,"&gt;0")=0,0,SUMIFS(Roster!$H$5:$H$1504,Roster!$B$5:$B$1504,$A63,Roster!$G$5:$G$1504,_xlfn.MAXIFS(Roster!$G$5:$G$1504,Roster!$B$5:$B$1504,$A63)))</f>
        <v>0</v>
      </c>
      <c r="W63" s="101" t="str">
        <f t="shared" si="6"/>
        <v>Filled</v>
      </c>
    </row>
    <row r="64" spans="1:23" x14ac:dyDescent="0.25">
      <c r="A64" s="76" t="s">
        <v>462</v>
      </c>
      <c r="B64" s="76" t="s">
        <v>353</v>
      </c>
      <c r="C64" s="76" t="s">
        <v>407</v>
      </c>
      <c r="D64" s="97">
        <v>1</v>
      </c>
      <c r="E64" s="98" t="s">
        <v>325</v>
      </c>
      <c r="F64" s="78">
        <v>52000</v>
      </c>
      <c r="G64" s="97">
        <v>1</v>
      </c>
      <c r="H64" s="98" t="s">
        <v>399</v>
      </c>
      <c r="J64" s="99">
        <f>1+Assumptions!$B$11+INDEX(Assumptions!$B$12:$B$15,D64)*Assumptions!$B$16</f>
        <v>1.3</v>
      </c>
      <c r="K64" s="82">
        <f t="shared" si="0"/>
        <v>67600</v>
      </c>
      <c r="L64" s="100">
        <f>IF(E64="Yes",MAX(0,Assumptions!$B$8-G64+1),0)</f>
        <v>8</v>
      </c>
      <c r="M64" s="82">
        <f t="shared" si="1"/>
        <v>45066.666666666664</v>
      </c>
      <c r="N64" s="100">
        <f>MIN(1,SUMIFS(Roster!$N$5:$N$1504,Roster!$B$5:$B$1504,$A64))</f>
        <v>1</v>
      </c>
      <c r="O64" s="100">
        <f>SUMIFS(Roster!$L$5:$L$1504,Roster!$B$5:$B$1504,$A64)</f>
        <v>8</v>
      </c>
      <c r="P64" s="83">
        <f>SUMIFS(Roster!$M$5:$M$1504,Roster!$B$5:$B$1504,$A64)*J64</f>
        <v>44893.333333333336</v>
      </c>
      <c r="Q64" s="83">
        <f>SUMIFS(Roster!$O$5:$O$1504,Roster!$B$5:$B$1504,$A64)*J64</f>
        <v>67340</v>
      </c>
      <c r="R64" s="82">
        <f t="shared" si="2"/>
        <v>67340</v>
      </c>
      <c r="S64" s="82">
        <f t="shared" si="3"/>
        <v>0</v>
      </c>
      <c r="T64" s="82">
        <f t="shared" si="4"/>
        <v>173.33333333332848</v>
      </c>
      <c r="U64" s="82">
        <f t="shared" si="5"/>
        <v>0</v>
      </c>
      <c r="V64" s="83">
        <f>IF(COUNTIFS(Roster!$B$5:$B$1504,$A64,Roster!$G$5:$G$1504,"&gt;0")=0,0,SUMIFS(Roster!$H$5:$H$1504,Roster!$B$5:$B$1504,$A64,Roster!$G$5:$G$1504,_xlfn.MAXIFS(Roster!$G$5:$G$1504,Roster!$B$5:$B$1504,$A64)))</f>
        <v>0</v>
      </c>
      <c r="W64" s="101" t="str">
        <f t="shared" si="6"/>
        <v>Filled</v>
      </c>
    </row>
    <row r="65" spans="1:23" x14ac:dyDescent="0.25">
      <c r="A65" s="76" t="s">
        <v>463</v>
      </c>
      <c r="B65" s="76" t="s">
        <v>353</v>
      </c>
      <c r="C65" s="76" t="s">
        <v>401</v>
      </c>
      <c r="D65" s="97">
        <v>2</v>
      </c>
      <c r="E65" s="98" t="s">
        <v>325</v>
      </c>
      <c r="F65" s="78">
        <v>86500</v>
      </c>
      <c r="G65" s="97">
        <v>1</v>
      </c>
      <c r="H65" s="98" t="s">
        <v>399</v>
      </c>
      <c r="J65" s="99">
        <f>1+Assumptions!$B$11+INDEX(Assumptions!$B$12:$B$15,D65)*Assumptions!$B$16</f>
        <v>1.35</v>
      </c>
      <c r="K65" s="82">
        <f t="shared" si="0"/>
        <v>116775.00000000001</v>
      </c>
      <c r="L65" s="100">
        <f>IF(E65="Yes",MAX(0,Assumptions!$B$8-G65+1),0)</f>
        <v>8</v>
      </c>
      <c r="M65" s="82">
        <f t="shared" si="1"/>
        <v>77850.000000000015</v>
      </c>
      <c r="N65" s="100">
        <f>MIN(1,SUMIFS(Roster!$N$5:$N$1504,Roster!$B$5:$B$1504,$A65))</f>
        <v>1</v>
      </c>
      <c r="O65" s="100">
        <f>SUMIFS(Roster!$L$5:$L$1504,Roster!$B$5:$B$1504,$A65)</f>
        <v>8</v>
      </c>
      <c r="P65" s="83">
        <f>SUMIFS(Roster!$M$5:$M$1504,Roster!$B$5:$B$1504,$A65)*J65</f>
        <v>76950</v>
      </c>
      <c r="Q65" s="83">
        <f>SUMIFS(Roster!$O$5:$O$1504,Roster!$B$5:$B$1504,$A65)*J65</f>
        <v>115425.00000000001</v>
      </c>
      <c r="R65" s="82">
        <f t="shared" si="2"/>
        <v>115425.00000000001</v>
      </c>
      <c r="S65" s="82">
        <f t="shared" si="3"/>
        <v>0</v>
      </c>
      <c r="T65" s="82">
        <f t="shared" si="4"/>
        <v>900.00000000001455</v>
      </c>
      <c r="U65" s="82">
        <f t="shared" si="5"/>
        <v>0</v>
      </c>
      <c r="V65" s="83">
        <f>IF(COUNTIFS(Roster!$B$5:$B$1504,$A65,Roster!$G$5:$G$1504,"&gt;0")=0,0,SUMIFS(Roster!$H$5:$H$1504,Roster!$B$5:$B$1504,$A65,Roster!$G$5:$G$1504,_xlfn.MAXIFS(Roster!$G$5:$G$1504,Roster!$B$5:$B$1504,$A65)))</f>
        <v>0</v>
      </c>
      <c r="W65" s="101" t="str">
        <f t="shared" si="6"/>
        <v>Filled</v>
      </c>
    </row>
    <row r="66" spans="1:23" x14ac:dyDescent="0.25">
      <c r="A66" s="76" t="s">
        <v>464</v>
      </c>
      <c r="B66" s="76" t="s">
        <v>353</v>
      </c>
      <c r="C66" s="76" t="s">
        <v>398</v>
      </c>
      <c r="D66" s="97">
        <v>3</v>
      </c>
      <c r="E66" s="98" t="s">
        <v>325</v>
      </c>
      <c r="F66" s="78">
        <v>120500</v>
      </c>
      <c r="G66" s="97">
        <v>1</v>
      </c>
      <c r="H66" s="98" t="s">
        <v>399</v>
      </c>
      <c r="J66" s="99">
        <f>1+Assumptions!$B$11+INDEX(Assumptions!$B$12:$B$15,D66)*Assumptions!$B$16</f>
        <v>1.4</v>
      </c>
      <c r="K66" s="82">
        <f t="shared" si="0"/>
        <v>168700</v>
      </c>
      <c r="L66" s="100">
        <f>IF(E66="Yes",MAX(0,Assumptions!$B$8-G66+1),0)</f>
        <v>8</v>
      </c>
      <c r="M66" s="82">
        <f t="shared" si="1"/>
        <v>112466.66666666667</v>
      </c>
      <c r="N66" s="100">
        <f>MIN(1,SUMIFS(Roster!$N$5:$N$1504,Roster!$B$5:$B$1504,$A66))</f>
        <v>1</v>
      </c>
      <c r="O66" s="100">
        <f>SUMIFS(Roster!$L$5:$L$1504,Roster!$B$5:$B$1504,$A66)</f>
        <v>8</v>
      </c>
      <c r="P66" s="83">
        <f>SUMIFS(Roster!$M$5:$M$1504,Roster!$B$5:$B$1504,$A66)*J66</f>
        <v>111066.66666666666</v>
      </c>
      <c r="Q66" s="83">
        <f>SUMIFS(Roster!$O$5:$O$1504,Roster!$B$5:$B$1504,$A66)*J66</f>
        <v>166600</v>
      </c>
      <c r="R66" s="82">
        <f t="shared" si="2"/>
        <v>166600</v>
      </c>
      <c r="S66" s="82">
        <f t="shared" si="3"/>
        <v>0</v>
      </c>
      <c r="T66" s="82">
        <f t="shared" si="4"/>
        <v>1400.0000000000146</v>
      </c>
      <c r="U66" s="82">
        <f t="shared" si="5"/>
        <v>0</v>
      </c>
      <c r="V66" s="83">
        <f>IF(COUNTIFS(Roster!$B$5:$B$1504,$A66,Roster!$G$5:$G$1504,"&gt;0")=0,0,SUMIFS(Roster!$H$5:$H$1504,Roster!$B$5:$B$1504,$A66,Roster!$G$5:$G$1504,_xlfn.MAXIFS(Roster!$G$5:$G$1504,Roster!$B$5:$B$1504,$A66)))</f>
        <v>0</v>
      </c>
      <c r="W66" s="101" t="str">
        <f t="shared" si="6"/>
        <v>Filled</v>
      </c>
    </row>
    <row r="67" spans="1:23" x14ac:dyDescent="0.25">
      <c r="A67" s="76" t="s">
        <v>465</v>
      </c>
      <c r="B67" s="76" t="s">
        <v>353</v>
      </c>
      <c r="C67" s="76" t="s">
        <v>407</v>
      </c>
      <c r="D67" s="97">
        <v>1</v>
      </c>
      <c r="E67" s="98" t="s">
        <v>325</v>
      </c>
      <c r="F67" s="78">
        <v>56500</v>
      </c>
      <c r="G67" s="97">
        <v>1</v>
      </c>
      <c r="H67" s="98" t="s">
        <v>399</v>
      </c>
      <c r="J67" s="99">
        <f>1+Assumptions!$B$11+INDEX(Assumptions!$B$12:$B$15,D67)*Assumptions!$B$16</f>
        <v>1.3</v>
      </c>
      <c r="K67" s="82">
        <f t="shared" si="0"/>
        <v>73450</v>
      </c>
      <c r="L67" s="100">
        <f>IF(E67="Yes",MAX(0,Assumptions!$B$8-G67+1),0)</f>
        <v>8</v>
      </c>
      <c r="M67" s="82">
        <f t="shared" si="1"/>
        <v>48966.666666666664</v>
      </c>
      <c r="N67" s="100">
        <f>MIN(1,SUMIFS(Roster!$N$5:$N$1504,Roster!$B$5:$B$1504,$A67))</f>
        <v>1</v>
      </c>
      <c r="O67" s="100">
        <f>SUMIFS(Roster!$L$5:$L$1504,Roster!$B$5:$B$1504,$A67)</f>
        <v>8</v>
      </c>
      <c r="P67" s="83">
        <f>SUMIFS(Roster!$M$5:$M$1504,Roster!$B$5:$B$1504,$A67)*J67</f>
        <v>49053.333333333336</v>
      </c>
      <c r="Q67" s="83">
        <f>SUMIFS(Roster!$O$5:$O$1504,Roster!$B$5:$B$1504,$A67)*J67</f>
        <v>73580</v>
      </c>
      <c r="R67" s="82">
        <f t="shared" si="2"/>
        <v>73580</v>
      </c>
      <c r="S67" s="82">
        <f t="shared" si="3"/>
        <v>0</v>
      </c>
      <c r="T67" s="82">
        <f t="shared" si="4"/>
        <v>-86.666666666671517</v>
      </c>
      <c r="U67" s="82">
        <f t="shared" si="5"/>
        <v>0</v>
      </c>
      <c r="V67" s="83">
        <f>IF(COUNTIFS(Roster!$B$5:$B$1504,$A67,Roster!$G$5:$G$1504,"&gt;0")=0,0,SUMIFS(Roster!$H$5:$H$1504,Roster!$B$5:$B$1504,$A67,Roster!$G$5:$G$1504,_xlfn.MAXIFS(Roster!$G$5:$G$1504,Roster!$B$5:$B$1504,$A67)))</f>
        <v>0</v>
      </c>
      <c r="W67" s="101" t="str">
        <f t="shared" si="6"/>
        <v>Filled</v>
      </c>
    </row>
    <row r="68" spans="1:23" x14ac:dyDescent="0.25">
      <c r="A68" s="76" t="s">
        <v>466</v>
      </c>
      <c r="B68" s="76" t="s">
        <v>353</v>
      </c>
      <c r="C68" s="76" t="s">
        <v>405</v>
      </c>
      <c r="D68" s="97">
        <v>1</v>
      </c>
      <c r="E68" s="98" t="s">
        <v>325</v>
      </c>
      <c r="F68" s="78">
        <v>65000</v>
      </c>
      <c r="G68" s="97">
        <v>1</v>
      </c>
      <c r="H68" s="98" t="s">
        <v>399</v>
      </c>
      <c r="J68" s="99">
        <f>1+Assumptions!$B$11+INDEX(Assumptions!$B$12:$B$15,D68)*Assumptions!$B$16</f>
        <v>1.3</v>
      </c>
      <c r="K68" s="82">
        <f t="shared" si="0"/>
        <v>84500</v>
      </c>
      <c r="L68" s="100">
        <f>IF(E68="Yes",MAX(0,Assumptions!$B$8-G68+1),0)</f>
        <v>8</v>
      </c>
      <c r="M68" s="82">
        <f t="shared" si="1"/>
        <v>56333.333333333336</v>
      </c>
      <c r="N68" s="100">
        <f>MIN(1,SUMIFS(Roster!$N$5:$N$1504,Roster!$B$5:$B$1504,$A68))</f>
        <v>1</v>
      </c>
      <c r="O68" s="100">
        <f>SUMIFS(Roster!$L$5:$L$1504,Roster!$B$5:$B$1504,$A68)</f>
        <v>8</v>
      </c>
      <c r="P68" s="83">
        <f>SUMIFS(Roster!$M$5:$M$1504,Roster!$B$5:$B$1504,$A68)*J68</f>
        <v>56680</v>
      </c>
      <c r="Q68" s="83">
        <f>SUMIFS(Roster!$O$5:$O$1504,Roster!$B$5:$B$1504,$A68)*J68</f>
        <v>85020</v>
      </c>
      <c r="R68" s="82">
        <f t="shared" si="2"/>
        <v>85020</v>
      </c>
      <c r="S68" s="82">
        <f t="shared" si="3"/>
        <v>0</v>
      </c>
      <c r="T68" s="82">
        <f t="shared" si="4"/>
        <v>-346.66666666666424</v>
      </c>
      <c r="U68" s="82">
        <f t="shared" si="5"/>
        <v>0</v>
      </c>
      <c r="V68" s="83">
        <f>IF(COUNTIFS(Roster!$B$5:$B$1504,$A68,Roster!$G$5:$G$1504,"&gt;0")=0,0,SUMIFS(Roster!$H$5:$H$1504,Roster!$B$5:$B$1504,$A68,Roster!$G$5:$G$1504,_xlfn.MAXIFS(Roster!$G$5:$G$1504,Roster!$B$5:$B$1504,$A68)))</f>
        <v>0</v>
      </c>
      <c r="W68" s="101" t="str">
        <f t="shared" si="6"/>
        <v>Filled</v>
      </c>
    </row>
    <row r="69" spans="1:23" x14ac:dyDescent="0.25">
      <c r="A69" s="76" t="s">
        <v>467</v>
      </c>
      <c r="B69" s="76" t="s">
        <v>353</v>
      </c>
      <c r="C69" s="76" t="s">
        <v>401</v>
      </c>
      <c r="D69" s="97">
        <v>2</v>
      </c>
      <c r="E69" s="98" t="s">
        <v>325</v>
      </c>
      <c r="F69" s="78">
        <v>77000</v>
      </c>
      <c r="G69" s="97">
        <v>1</v>
      </c>
      <c r="H69" s="98" t="s">
        <v>399</v>
      </c>
      <c r="J69" s="99">
        <f>1+Assumptions!$B$11+INDEX(Assumptions!$B$12:$B$15,D69)*Assumptions!$B$16</f>
        <v>1.35</v>
      </c>
      <c r="K69" s="82">
        <f t="shared" ref="K69:K132" si="7">IF(E69="Yes",F69*J69,0)</f>
        <v>103950</v>
      </c>
      <c r="L69" s="100">
        <f>IF(E69="Yes",MAX(0,Assumptions!$B$8-G69+1),0)</f>
        <v>8</v>
      </c>
      <c r="M69" s="82">
        <f t="shared" ref="M69:M132" si="8">K69/12*L69</f>
        <v>69300</v>
      </c>
      <c r="N69" s="100">
        <f>MIN(1,SUMIFS(Roster!$N$5:$N$1504,Roster!$B$5:$B$1504,$A69))</f>
        <v>1</v>
      </c>
      <c r="O69" s="100">
        <f>SUMIFS(Roster!$L$5:$L$1504,Roster!$B$5:$B$1504,$A69)</f>
        <v>8</v>
      </c>
      <c r="P69" s="83">
        <f>SUMIFS(Roster!$M$5:$M$1504,Roster!$B$5:$B$1504,$A69)*J69</f>
        <v>68400</v>
      </c>
      <c r="Q69" s="83">
        <f>SUMIFS(Roster!$O$5:$O$1504,Roster!$B$5:$B$1504,$A69)*J69</f>
        <v>102600</v>
      </c>
      <c r="R69" s="82">
        <f t="shared" ref="R69:R132" si="9">IF(N69=1,Q69,IF(AND(E69="Yes",H69="Fill"),K69,0))</f>
        <v>102600</v>
      </c>
      <c r="S69" s="82">
        <f t="shared" ref="S69:S132" si="10">(L69-O69)*K69/12</f>
        <v>0</v>
      </c>
      <c r="T69" s="82">
        <f t="shared" ref="T69:T132" si="11">IF(E69="Yes",O69*K69/12-P69,0)</f>
        <v>900</v>
      </c>
      <c r="U69" s="82">
        <f t="shared" ref="U69:U132" si="12">IF(E69="No",-P69,0)</f>
        <v>0</v>
      </c>
      <c r="V69" s="83">
        <f>IF(COUNTIFS(Roster!$B$5:$B$1504,$A69,Roster!$G$5:$G$1504,"&gt;0")=0,0,SUMIFS(Roster!$H$5:$H$1504,Roster!$B$5:$B$1504,$A69,Roster!$G$5:$G$1504,_xlfn.MAXIFS(Roster!$G$5:$G$1504,Roster!$B$5:$B$1504,$A69)))</f>
        <v>0</v>
      </c>
      <c r="W69" s="101" t="str">
        <f t="shared" ref="W69:W132" si="13">IF(N69=1,IF(E69="Yes","Filled","Unbudgeted hire"),IF(E69="Yes",IF(H69="Hold","Open: on hold","Open: to fill"),"Unbudgeted (left)"))</f>
        <v>Filled</v>
      </c>
    </row>
    <row r="70" spans="1:23" x14ac:dyDescent="0.25">
      <c r="A70" s="76" t="s">
        <v>468</v>
      </c>
      <c r="B70" s="76" t="s">
        <v>353</v>
      </c>
      <c r="C70" s="76" t="s">
        <v>405</v>
      </c>
      <c r="D70" s="97">
        <v>1</v>
      </c>
      <c r="E70" s="98" t="s">
        <v>325</v>
      </c>
      <c r="F70" s="78">
        <v>59000</v>
      </c>
      <c r="G70" s="97">
        <v>1</v>
      </c>
      <c r="H70" s="98" t="s">
        <v>399</v>
      </c>
      <c r="J70" s="99">
        <f>1+Assumptions!$B$11+INDEX(Assumptions!$B$12:$B$15,D70)*Assumptions!$B$16</f>
        <v>1.3</v>
      </c>
      <c r="K70" s="82">
        <f t="shared" si="7"/>
        <v>76700</v>
      </c>
      <c r="L70" s="100">
        <f>IF(E70="Yes",MAX(0,Assumptions!$B$8-G70+1),0)</f>
        <v>8</v>
      </c>
      <c r="M70" s="82">
        <f t="shared" si="8"/>
        <v>51133.333333333336</v>
      </c>
      <c r="N70" s="100">
        <f>MIN(1,SUMIFS(Roster!$N$5:$N$1504,Roster!$B$5:$B$1504,$A70))</f>
        <v>1</v>
      </c>
      <c r="O70" s="100">
        <f>SUMIFS(Roster!$L$5:$L$1504,Roster!$B$5:$B$1504,$A70)</f>
        <v>8</v>
      </c>
      <c r="P70" s="83">
        <f>SUMIFS(Roster!$M$5:$M$1504,Roster!$B$5:$B$1504,$A70)*J70</f>
        <v>51046.666666666664</v>
      </c>
      <c r="Q70" s="83">
        <f>SUMIFS(Roster!$O$5:$O$1504,Roster!$B$5:$B$1504,$A70)*J70</f>
        <v>76570</v>
      </c>
      <c r="R70" s="82">
        <f t="shared" si="9"/>
        <v>76570</v>
      </c>
      <c r="S70" s="82">
        <f t="shared" si="10"/>
        <v>0</v>
      </c>
      <c r="T70" s="82">
        <f t="shared" si="11"/>
        <v>86.666666666671517</v>
      </c>
      <c r="U70" s="82">
        <f t="shared" si="12"/>
        <v>0</v>
      </c>
      <c r="V70" s="83">
        <f>IF(COUNTIFS(Roster!$B$5:$B$1504,$A70,Roster!$G$5:$G$1504,"&gt;0")=0,0,SUMIFS(Roster!$H$5:$H$1504,Roster!$B$5:$B$1504,$A70,Roster!$G$5:$G$1504,_xlfn.MAXIFS(Roster!$G$5:$G$1504,Roster!$B$5:$B$1504,$A70)))</f>
        <v>0</v>
      </c>
      <c r="W70" s="101" t="str">
        <f t="shared" si="13"/>
        <v>Filled</v>
      </c>
    </row>
    <row r="71" spans="1:23" x14ac:dyDescent="0.25">
      <c r="A71" s="76" t="s">
        <v>469</v>
      </c>
      <c r="B71" s="76" t="s">
        <v>353</v>
      </c>
      <c r="C71" s="76" t="s">
        <v>407</v>
      </c>
      <c r="D71" s="97">
        <v>1</v>
      </c>
      <c r="E71" s="98" t="s">
        <v>325</v>
      </c>
      <c r="F71" s="78">
        <v>64500</v>
      </c>
      <c r="G71" s="97">
        <v>1</v>
      </c>
      <c r="H71" s="98" t="s">
        <v>399</v>
      </c>
      <c r="J71" s="99">
        <f>1+Assumptions!$B$11+INDEX(Assumptions!$B$12:$B$15,D71)*Assumptions!$B$16</f>
        <v>1.3</v>
      </c>
      <c r="K71" s="82">
        <f t="shared" si="7"/>
        <v>83850</v>
      </c>
      <c r="L71" s="100">
        <f>IF(E71="Yes",MAX(0,Assumptions!$B$8-G71+1),0)</f>
        <v>8</v>
      </c>
      <c r="M71" s="82">
        <f t="shared" si="8"/>
        <v>55900</v>
      </c>
      <c r="N71" s="100">
        <f>MIN(1,SUMIFS(Roster!$N$5:$N$1504,Roster!$B$5:$B$1504,$A71))</f>
        <v>1</v>
      </c>
      <c r="O71" s="100">
        <f>SUMIFS(Roster!$L$5:$L$1504,Roster!$B$5:$B$1504,$A71)</f>
        <v>8</v>
      </c>
      <c r="P71" s="83">
        <f>SUMIFS(Roster!$M$5:$M$1504,Roster!$B$5:$B$1504,$A71)*J71</f>
        <v>56333.333333333336</v>
      </c>
      <c r="Q71" s="83">
        <f>SUMIFS(Roster!$O$5:$O$1504,Roster!$B$5:$B$1504,$A71)*J71</f>
        <v>84500</v>
      </c>
      <c r="R71" s="82">
        <f t="shared" si="9"/>
        <v>84500</v>
      </c>
      <c r="S71" s="82">
        <f t="shared" si="10"/>
        <v>0</v>
      </c>
      <c r="T71" s="82">
        <f t="shared" si="11"/>
        <v>-433.33333333333576</v>
      </c>
      <c r="U71" s="82">
        <f t="shared" si="12"/>
        <v>0</v>
      </c>
      <c r="V71" s="83">
        <f>IF(COUNTIFS(Roster!$B$5:$B$1504,$A71,Roster!$G$5:$G$1504,"&gt;0")=0,0,SUMIFS(Roster!$H$5:$H$1504,Roster!$B$5:$B$1504,$A71,Roster!$G$5:$G$1504,_xlfn.MAXIFS(Roster!$G$5:$G$1504,Roster!$B$5:$B$1504,$A71)))</f>
        <v>0</v>
      </c>
      <c r="W71" s="101" t="str">
        <f t="shared" si="13"/>
        <v>Filled</v>
      </c>
    </row>
    <row r="72" spans="1:23" x14ac:dyDescent="0.25">
      <c r="A72" s="76" t="s">
        <v>470</v>
      </c>
      <c r="B72" s="76" t="s">
        <v>353</v>
      </c>
      <c r="C72" s="76" t="s">
        <v>401</v>
      </c>
      <c r="D72" s="97">
        <v>2</v>
      </c>
      <c r="E72" s="98" t="s">
        <v>325</v>
      </c>
      <c r="F72" s="78">
        <v>87000</v>
      </c>
      <c r="G72" s="97">
        <v>1</v>
      </c>
      <c r="H72" s="98" t="s">
        <v>399</v>
      </c>
      <c r="J72" s="99">
        <f>1+Assumptions!$B$11+INDEX(Assumptions!$B$12:$B$15,D72)*Assumptions!$B$16</f>
        <v>1.35</v>
      </c>
      <c r="K72" s="82">
        <f t="shared" si="7"/>
        <v>117450.00000000001</v>
      </c>
      <c r="L72" s="100">
        <f>IF(E72="Yes",MAX(0,Assumptions!$B$8-G72+1),0)</f>
        <v>8</v>
      </c>
      <c r="M72" s="82">
        <f t="shared" si="8"/>
        <v>78300.000000000015</v>
      </c>
      <c r="N72" s="100">
        <f>MIN(1,SUMIFS(Roster!$N$5:$N$1504,Roster!$B$5:$B$1504,$A72))</f>
        <v>1</v>
      </c>
      <c r="O72" s="100">
        <f>SUMIFS(Roster!$L$5:$L$1504,Roster!$B$5:$B$1504,$A72)</f>
        <v>8</v>
      </c>
      <c r="P72" s="83">
        <f>SUMIFS(Roster!$M$5:$M$1504,Roster!$B$5:$B$1504,$A72)*J72</f>
        <v>79200</v>
      </c>
      <c r="Q72" s="83">
        <f>SUMIFS(Roster!$O$5:$O$1504,Roster!$B$5:$B$1504,$A72)*J72</f>
        <v>118800.00000000001</v>
      </c>
      <c r="R72" s="82">
        <f t="shared" si="9"/>
        <v>118800.00000000001</v>
      </c>
      <c r="S72" s="82">
        <f t="shared" si="10"/>
        <v>0</v>
      </c>
      <c r="T72" s="82">
        <f t="shared" si="11"/>
        <v>-899.99999999998545</v>
      </c>
      <c r="U72" s="82">
        <f t="shared" si="12"/>
        <v>0</v>
      </c>
      <c r="V72" s="83">
        <f>IF(COUNTIFS(Roster!$B$5:$B$1504,$A72,Roster!$G$5:$G$1504,"&gt;0")=0,0,SUMIFS(Roster!$H$5:$H$1504,Roster!$B$5:$B$1504,$A72,Roster!$G$5:$G$1504,_xlfn.MAXIFS(Roster!$G$5:$G$1504,Roster!$B$5:$B$1504,$A72)))</f>
        <v>0</v>
      </c>
      <c r="W72" s="101" t="str">
        <f t="shared" si="13"/>
        <v>Filled</v>
      </c>
    </row>
    <row r="73" spans="1:23" x14ac:dyDescent="0.25">
      <c r="A73" s="76" t="s">
        <v>471</v>
      </c>
      <c r="B73" s="76" t="s">
        <v>353</v>
      </c>
      <c r="C73" s="76" t="s">
        <v>398</v>
      </c>
      <c r="D73" s="97">
        <v>3</v>
      </c>
      <c r="E73" s="98" t="s">
        <v>325</v>
      </c>
      <c r="F73" s="78">
        <v>135000</v>
      </c>
      <c r="G73" s="97">
        <v>1</v>
      </c>
      <c r="H73" s="98" t="s">
        <v>399</v>
      </c>
      <c r="J73" s="99">
        <f>1+Assumptions!$B$11+INDEX(Assumptions!$B$12:$B$15,D73)*Assumptions!$B$16</f>
        <v>1.4</v>
      </c>
      <c r="K73" s="82">
        <f t="shared" si="7"/>
        <v>189000</v>
      </c>
      <c r="L73" s="100">
        <f>IF(E73="Yes",MAX(0,Assumptions!$B$8-G73+1),0)</f>
        <v>8</v>
      </c>
      <c r="M73" s="82">
        <f t="shared" si="8"/>
        <v>126000</v>
      </c>
      <c r="N73" s="100">
        <f>MIN(1,SUMIFS(Roster!$N$5:$N$1504,Roster!$B$5:$B$1504,$A73))</f>
        <v>1</v>
      </c>
      <c r="O73" s="100">
        <f>SUMIFS(Roster!$L$5:$L$1504,Roster!$B$5:$B$1504,$A73)</f>
        <v>8</v>
      </c>
      <c r="P73" s="83">
        <f>SUMIFS(Roster!$M$5:$M$1504,Roster!$B$5:$B$1504,$A73)*J73</f>
        <v>127866.66666666666</v>
      </c>
      <c r="Q73" s="83">
        <f>SUMIFS(Roster!$O$5:$O$1504,Roster!$B$5:$B$1504,$A73)*J73</f>
        <v>191800</v>
      </c>
      <c r="R73" s="82">
        <f t="shared" si="9"/>
        <v>191800</v>
      </c>
      <c r="S73" s="82">
        <f t="shared" si="10"/>
        <v>0</v>
      </c>
      <c r="T73" s="82">
        <f t="shared" si="11"/>
        <v>-1866.666666666657</v>
      </c>
      <c r="U73" s="82">
        <f t="shared" si="12"/>
        <v>0</v>
      </c>
      <c r="V73" s="83">
        <f>IF(COUNTIFS(Roster!$B$5:$B$1504,$A73,Roster!$G$5:$G$1504,"&gt;0")=0,0,SUMIFS(Roster!$H$5:$H$1504,Roster!$B$5:$B$1504,$A73,Roster!$G$5:$G$1504,_xlfn.MAXIFS(Roster!$G$5:$G$1504,Roster!$B$5:$B$1504,$A73)))</f>
        <v>0</v>
      </c>
      <c r="W73" s="101" t="str">
        <f t="shared" si="13"/>
        <v>Filled</v>
      </c>
    </row>
    <row r="74" spans="1:23" x14ac:dyDescent="0.25">
      <c r="A74" s="76" t="s">
        <v>472</v>
      </c>
      <c r="B74" s="76" t="s">
        <v>353</v>
      </c>
      <c r="C74" s="76" t="s">
        <v>398</v>
      </c>
      <c r="D74" s="97">
        <v>3</v>
      </c>
      <c r="E74" s="98" t="s">
        <v>325</v>
      </c>
      <c r="F74" s="78">
        <v>134000</v>
      </c>
      <c r="G74" s="97">
        <v>1</v>
      </c>
      <c r="H74" s="98" t="s">
        <v>399</v>
      </c>
      <c r="J74" s="99">
        <f>1+Assumptions!$B$11+INDEX(Assumptions!$B$12:$B$15,D74)*Assumptions!$B$16</f>
        <v>1.4</v>
      </c>
      <c r="K74" s="82">
        <f t="shared" si="7"/>
        <v>187600</v>
      </c>
      <c r="L74" s="100">
        <f>IF(E74="Yes",MAX(0,Assumptions!$B$8-G74+1),0)</f>
        <v>8</v>
      </c>
      <c r="M74" s="82">
        <f t="shared" si="8"/>
        <v>125066.66666666667</v>
      </c>
      <c r="N74" s="100">
        <f>MIN(1,SUMIFS(Roster!$N$5:$N$1504,Roster!$B$5:$B$1504,$A74))</f>
        <v>1</v>
      </c>
      <c r="O74" s="100">
        <f>SUMIFS(Roster!$L$5:$L$1504,Roster!$B$5:$B$1504,$A74)</f>
        <v>8</v>
      </c>
      <c r="P74" s="83">
        <f>SUMIFS(Roster!$M$5:$M$1504,Roster!$B$5:$B$1504,$A74)*J74</f>
        <v>126746.66666666666</v>
      </c>
      <c r="Q74" s="83">
        <f>SUMIFS(Roster!$O$5:$O$1504,Roster!$B$5:$B$1504,$A74)*J74</f>
        <v>190120</v>
      </c>
      <c r="R74" s="82">
        <f t="shared" si="9"/>
        <v>190120</v>
      </c>
      <c r="S74" s="82">
        <f t="shared" si="10"/>
        <v>0</v>
      </c>
      <c r="T74" s="82">
        <f t="shared" si="11"/>
        <v>-1679.9999999999854</v>
      </c>
      <c r="U74" s="82">
        <f t="shared" si="12"/>
        <v>0</v>
      </c>
      <c r="V74" s="83">
        <f>IF(COUNTIFS(Roster!$B$5:$B$1504,$A74,Roster!$G$5:$G$1504,"&gt;0")=0,0,SUMIFS(Roster!$H$5:$H$1504,Roster!$B$5:$B$1504,$A74,Roster!$G$5:$G$1504,_xlfn.MAXIFS(Roster!$G$5:$G$1504,Roster!$B$5:$B$1504,$A74)))</f>
        <v>0</v>
      </c>
      <c r="W74" s="101" t="str">
        <f t="shared" si="13"/>
        <v>Filled</v>
      </c>
    </row>
    <row r="75" spans="1:23" x14ac:dyDescent="0.25">
      <c r="A75" s="76" t="s">
        <v>473</v>
      </c>
      <c r="B75" s="76" t="s">
        <v>353</v>
      </c>
      <c r="C75" s="76" t="s">
        <v>405</v>
      </c>
      <c r="D75" s="97">
        <v>1</v>
      </c>
      <c r="E75" s="98" t="s">
        <v>325</v>
      </c>
      <c r="F75" s="78">
        <v>61000</v>
      </c>
      <c r="G75" s="97">
        <v>1</v>
      </c>
      <c r="H75" s="98" t="s">
        <v>399</v>
      </c>
      <c r="J75" s="99">
        <f>1+Assumptions!$B$11+INDEX(Assumptions!$B$12:$B$15,D75)*Assumptions!$B$16</f>
        <v>1.3</v>
      </c>
      <c r="K75" s="82">
        <f t="shared" si="7"/>
        <v>79300</v>
      </c>
      <c r="L75" s="100">
        <f>IF(E75="Yes",MAX(0,Assumptions!$B$8-G75+1),0)</f>
        <v>8</v>
      </c>
      <c r="M75" s="82">
        <f t="shared" si="8"/>
        <v>52866.666666666664</v>
      </c>
      <c r="N75" s="100">
        <f>MIN(1,SUMIFS(Roster!$N$5:$N$1504,Roster!$B$5:$B$1504,$A75))</f>
        <v>1</v>
      </c>
      <c r="O75" s="100">
        <f>SUMIFS(Roster!$L$5:$L$1504,Roster!$B$5:$B$1504,$A75)</f>
        <v>8</v>
      </c>
      <c r="P75" s="83">
        <f>SUMIFS(Roster!$M$5:$M$1504,Roster!$B$5:$B$1504,$A75)*J75</f>
        <v>52693.333333333336</v>
      </c>
      <c r="Q75" s="83">
        <f>SUMIFS(Roster!$O$5:$O$1504,Roster!$B$5:$B$1504,$A75)*J75</f>
        <v>79040</v>
      </c>
      <c r="R75" s="82">
        <f t="shared" si="9"/>
        <v>79040</v>
      </c>
      <c r="S75" s="82">
        <f t="shared" si="10"/>
        <v>0</v>
      </c>
      <c r="T75" s="82">
        <f t="shared" si="11"/>
        <v>173.33333333332848</v>
      </c>
      <c r="U75" s="82">
        <f t="shared" si="12"/>
        <v>0</v>
      </c>
      <c r="V75" s="83">
        <f>IF(COUNTIFS(Roster!$B$5:$B$1504,$A75,Roster!$G$5:$G$1504,"&gt;0")=0,0,SUMIFS(Roster!$H$5:$H$1504,Roster!$B$5:$B$1504,$A75,Roster!$G$5:$G$1504,_xlfn.MAXIFS(Roster!$G$5:$G$1504,Roster!$B$5:$B$1504,$A75)))</f>
        <v>0</v>
      </c>
      <c r="W75" s="101" t="str">
        <f t="shared" si="13"/>
        <v>Filled</v>
      </c>
    </row>
    <row r="76" spans="1:23" x14ac:dyDescent="0.25">
      <c r="A76" s="76" t="s">
        <v>474</v>
      </c>
      <c r="B76" s="76" t="s">
        <v>353</v>
      </c>
      <c r="C76" s="76" t="s">
        <v>405</v>
      </c>
      <c r="D76" s="97">
        <v>1</v>
      </c>
      <c r="E76" s="98" t="s">
        <v>325</v>
      </c>
      <c r="F76" s="78">
        <v>58500</v>
      </c>
      <c r="G76" s="97">
        <v>1</v>
      </c>
      <c r="H76" s="98" t="s">
        <v>399</v>
      </c>
      <c r="J76" s="99">
        <f>1+Assumptions!$B$11+INDEX(Assumptions!$B$12:$B$15,D76)*Assumptions!$B$16</f>
        <v>1.3</v>
      </c>
      <c r="K76" s="82">
        <f t="shared" si="7"/>
        <v>76050</v>
      </c>
      <c r="L76" s="100">
        <f>IF(E76="Yes",MAX(0,Assumptions!$B$8-G76+1),0)</f>
        <v>8</v>
      </c>
      <c r="M76" s="82">
        <f t="shared" si="8"/>
        <v>50700</v>
      </c>
      <c r="N76" s="100">
        <f>MIN(1,SUMIFS(Roster!$N$5:$N$1504,Roster!$B$5:$B$1504,$A76))</f>
        <v>0</v>
      </c>
      <c r="O76" s="100">
        <f>SUMIFS(Roster!$L$5:$L$1504,Roster!$B$5:$B$1504,$A76)</f>
        <v>8</v>
      </c>
      <c r="P76" s="83">
        <f>SUMIFS(Roster!$M$5:$M$1504,Roster!$B$5:$B$1504,$A76)*J76</f>
        <v>50526.666666666664</v>
      </c>
      <c r="Q76" s="83">
        <f>SUMIFS(Roster!$O$5:$O$1504,Roster!$B$5:$B$1504,$A76)*J76</f>
        <v>0</v>
      </c>
      <c r="R76" s="82">
        <f t="shared" si="9"/>
        <v>76050</v>
      </c>
      <c r="S76" s="82">
        <f t="shared" si="10"/>
        <v>0</v>
      </c>
      <c r="T76" s="82">
        <f t="shared" si="11"/>
        <v>173.33333333333576</v>
      </c>
      <c r="U76" s="82">
        <f t="shared" si="12"/>
        <v>0</v>
      </c>
      <c r="V76" s="83">
        <f>IF(COUNTIFS(Roster!$B$5:$B$1504,$A76,Roster!$G$5:$G$1504,"&gt;0")=0,0,SUMIFS(Roster!$H$5:$H$1504,Roster!$B$5:$B$1504,$A76,Roster!$G$5:$G$1504,_xlfn.MAXIFS(Roster!$G$5:$G$1504,Roster!$B$5:$B$1504,$A76)))</f>
        <v>58300</v>
      </c>
      <c r="W76" s="101" t="str">
        <f t="shared" si="13"/>
        <v>Open: to fill</v>
      </c>
    </row>
    <row r="77" spans="1:23" x14ac:dyDescent="0.25">
      <c r="A77" s="76" t="s">
        <v>475</v>
      </c>
      <c r="B77" s="76" t="s">
        <v>353</v>
      </c>
      <c r="C77" s="76" t="s">
        <v>405</v>
      </c>
      <c r="D77" s="97">
        <v>1</v>
      </c>
      <c r="E77" s="98" t="s">
        <v>325</v>
      </c>
      <c r="F77" s="78">
        <v>59500</v>
      </c>
      <c r="G77" s="97">
        <v>1</v>
      </c>
      <c r="H77" s="98" t="s">
        <v>399</v>
      </c>
      <c r="J77" s="99">
        <f>1+Assumptions!$B$11+INDEX(Assumptions!$B$12:$B$15,D77)*Assumptions!$B$16</f>
        <v>1.3</v>
      </c>
      <c r="K77" s="82">
        <f t="shared" si="7"/>
        <v>77350</v>
      </c>
      <c r="L77" s="100">
        <f>IF(E77="Yes",MAX(0,Assumptions!$B$8-G77+1),0)</f>
        <v>8</v>
      </c>
      <c r="M77" s="82">
        <f t="shared" si="8"/>
        <v>51566.666666666664</v>
      </c>
      <c r="N77" s="100">
        <f>MIN(1,SUMIFS(Roster!$N$5:$N$1504,Roster!$B$5:$B$1504,$A77))</f>
        <v>1</v>
      </c>
      <c r="O77" s="100">
        <f>SUMIFS(Roster!$L$5:$L$1504,Roster!$B$5:$B$1504,$A77)</f>
        <v>8</v>
      </c>
      <c r="P77" s="83">
        <f>SUMIFS(Roster!$M$5:$M$1504,Roster!$B$5:$B$1504,$A77)*J77</f>
        <v>51393.333333333336</v>
      </c>
      <c r="Q77" s="83">
        <f>SUMIFS(Roster!$O$5:$O$1504,Roster!$B$5:$B$1504,$A77)*J77</f>
        <v>77090</v>
      </c>
      <c r="R77" s="82">
        <f t="shared" si="9"/>
        <v>77090</v>
      </c>
      <c r="S77" s="82">
        <f t="shared" si="10"/>
        <v>0</v>
      </c>
      <c r="T77" s="82">
        <f t="shared" si="11"/>
        <v>173.33333333332848</v>
      </c>
      <c r="U77" s="82">
        <f t="shared" si="12"/>
        <v>0</v>
      </c>
      <c r="V77" s="83">
        <f>IF(COUNTIFS(Roster!$B$5:$B$1504,$A77,Roster!$G$5:$G$1504,"&gt;0")=0,0,SUMIFS(Roster!$H$5:$H$1504,Roster!$B$5:$B$1504,$A77,Roster!$G$5:$G$1504,_xlfn.MAXIFS(Roster!$G$5:$G$1504,Roster!$B$5:$B$1504,$A77)))</f>
        <v>0</v>
      </c>
      <c r="W77" s="101" t="str">
        <f t="shared" si="13"/>
        <v>Filled</v>
      </c>
    </row>
    <row r="78" spans="1:23" x14ac:dyDescent="0.25">
      <c r="A78" s="76" t="s">
        <v>476</v>
      </c>
      <c r="B78" s="76" t="s">
        <v>353</v>
      </c>
      <c r="C78" s="76" t="s">
        <v>407</v>
      </c>
      <c r="D78" s="97">
        <v>1</v>
      </c>
      <c r="E78" s="98" t="s">
        <v>325</v>
      </c>
      <c r="F78" s="78">
        <v>60500</v>
      </c>
      <c r="G78" s="97">
        <v>1</v>
      </c>
      <c r="H78" s="98" t="s">
        <v>399</v>
      </c>
      <c r="J78" s="99">
        <f>1+Assumptions!$B$11+INDEX(Assumptions!$B$12:$B$15,D78)*Assumptions!$B$16</f>
        <v>1.3</v>
      </c>
      <c r="K78" s="82">
        <f t="shared" si="7"/>
        <v>78650</v>
      </c>
      <c r="L78" s="100">
        <f>IF(E78="Yes",MAX(0,Assumptions!$B$8-G78+1),0)</f>
        <v>8</v>
      </c>
      <c r="M78" s="82">
        <f t="shared" si="8"/>
        <v>52433.333333333336</v>
      </c>
      <c r="N78" s="100">
        <f>MIN(1,SUMIFS(Roster!$N$5:$N$1504,Roster!$B$5:$B$1504,$A78))</f>
        <v>1</v>
      </c>
      <c r="O78" s="100">
        <f>SUMIFS(Roster!$L$5:$L$1504,Roster!$B$5:$B$1504,$A78)</f>
        <v>8</v>
      </c>
      <c r="P78" s="83">
        <f>SUMIFS(Roster!$M$5:$M$1504,Roster!$B$5:$B$1504,$A78)*J78</f>
        <v>52173.333333333336</v>
      </c>
      <c r="Q78" s="83">
        <f>SUMIFS(Roster!$O$5:$O$1504,Roster!$B$5:$B$1504,$A78)*J78</f>
        <v>78260</v>
      </c>
      <c r="R78" s="82">
        <f t="shared" si="9"/>
        <v>78260</v>
      </c>
      <c r="S78" s="82">
        <f t="shared" si="10"/>
        <v>0</v>
      </c>
      <c r="T78" s="82">
        <f t="shared" si="11"/>
        <v>260</v>
      </c>
      <c r="U78" s="82">
        <f t="shared" si="12"/>
        <v>0</v>
      </c>
      <c r="V78" s="83">
        <f>IF(COUNTIFS(Roster!$B$5:$B$1504,$A78,Roster!$G$5:$G$1504,"&gt;0")=0,0,SUMIFS(Roster!$H$5:$H$1504,Roster!$B$5:$B$1504,$A78,Roster!$G$5:$G$1504,_xlfn.MAXIFS(Roster!$G$5:$G$1504,Roster!$B$5:$B$1504,$A78)))</f>
        <v>0</v>
      </c>
      <c r="W78" s="101" t="str">
        <f t="shared" si="13"/>
        <v>Filled</v>
      </c>
    </row>
    <row r="79" spans="1:23" x14ac:dyDescent="0.25">
      <c r="A79" s="76" t="s">
        <v>477</v>
      </c>
      <c r="B79" s="76" t="s">
        <v>353</v>
      </c>
      <c r="C79" s="76" t="s">
        <v>401</v>
      </c>
      <c r="D79" s="97">
        <v>2</v>
      </c>
      <c r="E79" s="98" t="s">
        <v>325</v>
      </c>
      <c r="F79" s="78">
        <v>76000</v>
      </c>
      <c r="G79" s="97">
        <v>1</v>
      </c>
      <c r="H79" s="98" t="s">
        <v>399</v>
      </c>
      <c r="J79" s="99">
        <f>1+Assumptions!$B$11+INDEX(Assumptions!$B$12:$B$15,D79)*Assumptions!$B$16</f>
        <v>1.35</v>
      </c>
      <c r="K79" s="82">
        <f t="shared" si="7"/>
        <v>102600</v>
      </c>
      <c r="L79" s="100">
        <f>IF(E79="Yes",MAX(0,Assumptions!$B$8-G79+1),0)</f>
        <v>8</v>
      </c>
      <c r="M79" s="82">
        <f t="shared" si="8"/>
        <v>68400</v>
      </c>
      <c r="N79" s="100">
        <f>MIN(1,SUMIFS(Roster!$N$5:$N$1504,Roster!$B$5:$B$1504,$A79))</f>
        <v>1</v>
      </c>
      <c r="O79" s="100">
        <f>SUMIFS(Roster!$L$5:$L$1504,Roster!$B$5:$B$1504,$A79)</f>
        <v>8</v>
      </c>
      <c r="P79" s="83">
        <f>SUMIFS(Roster!$M$5:$M$1504,Roster!$B$5:$B$1504,$A79)*J79</f>
        <v>69030.000000000015</v>
      </c>
      <c r="Q79" s="83">
        <f>SUMIFS(Roster!$O$5:$O$1504,Roster!$B$5:$B$1504,$A79)*J79</f>
        <v>103545</v>
      </c>
      <c r="R79" s="82">
        <f t="shared" si="9"/>
        <v>103545</v>
      </c>
      <c r="S79" s="82">
        <f t="shared" si="10"/>
        <v>0</v>
      </c>
      <c r="T79" s="82">
        <f t="shared" si="11"/>
        <v>-630.00000000001455</v>
      </c>
      <c r="U79" s="82">
        <f t="shared" si="12"/>
        <v>0</v>
      </c>
      <c r="V79" s="83">
        <f>IF(COUNTIFS(Roster!$B$5:$B$1504,$A79,Roster!$G$5:$G$1504,"&gt;0")=0,0,SUMIFS(Roster!$H$5:$H$1504,Roster!$B$5:$B$1504,$A79,Roster!$G$5:$G$1504,_xlfn.MAXIFS(Roster!$G$5:$G$1504,Roster!$B$5:$B$1504,$A79)))</f>
        <v>0</v>
      </c>
      <c r="W79" s="101" t="str">
        <f t="shared" si="13"/>
        <v>Filled</v>
      </c>
    </row>
    <row r="80" spans="1:23" x14ac:dyDescent="0.25">
      <c r="A80" s="76" t="s">
        <v>478</v>
      </c>
      <c r="B80" s="76" t="s">
        <v>353</v>
      </c>
      <c r="C80" s="76" t="s">
        <v>405</v>
      </c>
      <c r="D80" s="97">
        <v>1</v>
      </c>
      <c r="E80" s="98" t="s">
        <v>325</v>
      </c>
      <c r="F80" s="78">
        <v>53000</v>
      </c>
      <c r="G80" s="97">
        <v>1</v>
      </c>
      <c r="H80" s="98" t="s">
        <v>399</v>
      </c>
      <c r="J80" s="99">
        <f>1+Assumptions!$B$11+INDEX(Assumptions!$B$12:$B$15,D80)*Assumptions!$B$16</f>
        <v>1.3</v>
      </c>
      <c r="K80" s="82">
        <f t="shared" si="7"/>
        <v>68900</v>
      </c>
      <c r="L80" s="100">
        <f>IF(E80="Yes",MAX(0,Assumptions!$B$8-G80+1),0)</f>
        <v>8</v>
      </c>
      <c r="M80" s="82">
        <f t="shared" si="8"/>
        <v>45933.333333333336</v>
      </c>
      <c r="N80" s="100">
        <f>MIN(1,SUMIFS(Roster!$N$5:$N$1504,Roster!$B$5:$B$1504,$A80))</f>
        <v>1</v>
      </c>
      <c r="O80" s="100">
        <f>SUMIFS(Roster!$L$5:$L$1504,Roster!$B$5:$B$1504,$A80)</f>
        <v>8</v>
      </c>
      <c r="P80" s="83">
        <f>SUMIFS(Roster!$M$5:$M$1504,Roster!$B$5:$B$1504,$A80)*J80</f>
        <v>45500</v>
      </c>
      <c r="Q80" s="83">
        <f>SUMIFS(Roster!$O$5:$O$1504,Roster!$B$5:$B$1504,$A80)*J80</f>
        <v>68250</v>
      </c>
      <c r="R80" s="82">
        <f t="shared" si="9"/>
        <v>68250</v>
      </c>
      <c r="S80" s="82">
        <f t="shared" si="10"/>
        <v>0</v>
      </c>
      <c r="T80" s="82">
        <f t="shared" si="11"/>
        <v>433.33333333333576</v>
      </c>
      <c r="U80" s="82">
        <f t="shared" si="12"/>
        <v>0</v>
      </c>
      <c r="V80" s="83">
        <f>IF(COUNTIFS(Roster!$B$5:$B$1504,$A80,Roster!$G$5:$G$1504,"&gt;0")=0,0,SUMIFS(Roster!$H$5:$H$1504,Roster!$B$5:$B$1504,$A80,Roster!$G$5:$G$1504,_xlfn.MAXIFS(Roster!$G$5:$G$1504,Roster!$B$5:$B$1504,$A80)))</f>
        <v>0</v>
      </c>
      <c r="W80" s="101" t="str">
        <f t="shared" si="13"/>
        <v>Filled</v>
      </c>
    </row>
    <row r="81" spans="1:23" x14ac:dyDescent="0.25">
      <c r="A81" s="76" t="s">
        <v>479</v>
      </c>
      <c r="B81" s="76" t="s">
        <v>353</v>
      </c>
      <c r="C81" s="76" t="s">
        <v>405</v>
      </c>
      <c r="D81" s="97">
        <v>1</v>
      </c>
      <c r="E81" s="98" t="s">
        <v>325</v>
      </c>
      <c r="F81" s="78">
        <v>65500</v>
      </c>
      <c r="G81" s="97">
        <v>1</v>
      </c>
      <c r="H81" s="98" t="s">
        <v>399</v>
      </c>
      <c r="J81" s="99">
        <f>1+Assumptions!$B$11+INDEX(Assumptions!$B$12:$B$15,D81)*Assumptions!$B$16</f>
        <v>1.3</v>
      </c>
      <c r="K81" s="82">
        <f t="shared" si="7"/>
        <v>85150</v>
      </c>
      <c r="L81" s="100">
        <f>IF(E81="Yes",MAX(0,Assumptions!$B$8-G81+1),0)</f>
        <v>8</v>
      </c>
      <c r="M81" s="82">
        <f t="shared" si="8"/>
        <v>56766.666666666664</v>
      </c>
      <c r="N81" s="100">
        <f>MIN(1,SUMIFS(Roster!$N$5:$N$1504,Roster!$B$5:$B$1504,$A81))</f>
        <v>1</v>
      </c>
      <c r="O81" s="100">
        <f>SUMIFS(Roster!$L$5:$L$1504,Roster!$B$5:$B$1504,$A81)</f>
        <v>8</v>
      </c>
      <c r="P81" s="83">
        <f>SUMIFS(Roster!$M$5:$M$1504,Roster!$B$5:$B$1504,$A81)*J81</f>
        <v>57113.333333333336</v>
      </c>
      <c r="Q81" s="83">
        <f>SUMIFS(Roster!$O$5:$O$1504,Roster!$B$5:$B$1504,$A81)*J81</f>
        <v>85670</v>
      </c>
      <c r="R81" s="82">
        <f t="shared" si="9"/>
        <v>85670</v>
      </c>
      <c r="S81" s="82">
        <f t="shared" si="10"/>
        <v>0</v>
      </c>
      <c r="T81" s="82">
        <f t="shared" si="11"/>
        <v>-346.66666666667152</v>
      </c>
      <c r="U81" s="82">
        <f t="shared" si="12"/>
        <v>0</v>
      </c>
      <c r="V81" s="83">
        <f>IF(COUNTIFS(Roster!$B$5:$B$1504,$A81,Roster!$G$5:$G$1504,"&gt;0")=0,0,SUMIFS(Roster!$H$5:$H$1504,Roster!$B$5:$B$1504,$A81,Roster!$G$5:$G$1504,_xlfn.MAXIFS(Roster!$G$5:$G$1504,Roster!$B$5:$B$1504,$A81)))</f>
        <v>0</v>
      </c>
      <c r="W81" s="101" t="str">
        <f t="shared" si="13"/>
        <v>Filled</v>
      </c>
    </row>
    <row r="82" spans="1:23" x14ac:dyDescent="0.25">
      <c r="A82" s="76" t="s">
        <v>480</v>
      </c>
      <c r="B82" s="76" t="s">
        <v>353</v>
      </c>
      <c r="C82" s="76" t="s">
        <v>407</v>
      </c>
      <c r="D82" s="97">
        <v>1</v>
      </c>
      <c r="E82" s="98" t="s">
        <v>325</v>
      </c>
      <c r="F82" s="78">
        <v>65000</v>
      </c>
      <c r="G82" s="97">
        <v>1</v>
      </c>
      <c r="H82" s="98" t="s">
        <v>399</v>
      </c>
      <c r="J82" s="99">
        <f>1+Assumptions!$B$11+INDEX(Assumptions!$B$12:$B$15,D82)*Assumptions!$B$16</f>
        <v>1.3</v>
      </c>
      <c r="K82" s="82">
        <f t="shared" si="7"/>
        <v>84500</v>
      </c>
      <c r="L82" s="100">
        <f>IF(E82="Yes",MAX(0,Assumptions!$B$8-G82+1),0)</f>
        <v>8</v>
      </c>
      <c r="M82" s="82">
        <f t="shared" si="8"/>
        <v>56333.333333333336</v>
      </c>
      <c r="N82" s="100">
        <f>MIN(1,SUMIFS(Roster!$N$5:$N$1504,Roster!$B$5:$B$1504,$A82))</f>
        <v>1</v>
      </c>
      <c r="O82" s="100">
        <f>SUMIFS(Roster!$L$5:$L$1504,Roster!$B$5:$B$1504,$A82)</f>
        <v>8</v>
      </c>
      <c r="P82" s="83">
        <f>SUMIFS(Roster!$M$5:$M$1504,Roster!$B$5:$B$1504,$A82)*J82</f>
        <v>55553.333333333336</v>
      </c>
      <c r="Q82" s="83">
        <f>SUMIFS(Roster!$O$5:$O$1504,Roster!$B$5:$B$1504,$A82)*J82</f>
        <v>83330</v>
      </c>
      <c r="R82" s="82">
        <f t="shared" si="9"/>
        <v>83330</v>
      </c>
      <c r="S82" s="82">
        <f t="shared" si="10"/>
        <v>0</v>
      </c>
      <c r="T82" s="82">
        <f t="shared" si="11"/>
        <v>780</v>
      </c>
      <c r="U82" s="82">
        <f t="shared" si="12"/>
        <v>0</v>
      </c>
      <c r="V82" s="83">
        <f>IF(COUNTIFS(Roster!$B$5:$B$1504,$A82,Roster!$G$5:$G$1504,"&gt;0")=0,0,SUMIFS(Roster!$H$5:$H$1504,Roster!$B$5:$B$1504,$A82,Roster!$G$5:$G$1504,_xlfn.MAXIFS(Roster!$G$5:$G$1504,Roster!$B$5:$B$1504,$A82)))</f>
        <v>0</v>
      </c>
      <c r="W82" s="101" t="str">
        <f t="shared" si="13"/>
        <v>Filled</v>
      </c>
    </row>
    <row r="83" spans="1:23" x14ac:dyDescent="0.25">
      <c r="A83" s="76" t="s">
        <v>481</v>
      </c>
      <c r="B83" s="76" t="s">
        <v>353</v>
      </c>
      <c r="C83" s="76" t="s">
        <v>401</v>
      </c>
      <c r="D83" s="97">
        <v>2</v>
      </c>
      <c r="E83" s="98" t="s">
        <v>325</v>
      </c>
      <c r="F83" s="78">
        <v>94500</v>
      </c>
      <c r="G83" s="97">
        <v>1</v>
      </c>
      <c r="H83" s="98" t="s">
        <v>399</v>
      </c>
      <c r="J83" s="99">
        <f>1+Assumptions!$B$11+INDEX(Assumptions!$B$12:$B$15,D83)*Assumptions!$B$16</f>
        <v>1.35</v>
      </c>
      <c r="K83" s="82">
        <f t="shared" si="7"/>
        <v>127575.00000000001</v>
      </c>
      <c r="L83" s="100">
        <f>IF(E83="Yes",MAX(0,Assumptions!$B$8-G83+1),0)</f>
        <v>8</v>
      </c>
      <c r="M83" s="82">
        <f t="shared" si="8"/>
        <v>85050.000000000015</v>
      </c>
      <c r="N83" s="100">
        <f>MIN(1,SUMIFS(Roster!$N$5:$N$1504,Roster!$B$5:$B$1504,$A83))</f>
        <v>1</v>
      </c>
      <c r="O83" s="100">
        <f>SUMIFS(Roster!$L$5:$L$1504,Roster!$B$5:$B$1504,$A83)</f>
        <v>8</v>
      </c>
      <c r="P83" s="83">
        <f>SUMIFS(Roster!$M$5:$M$1504,Roster!$B$5:$B$1504,$A83)*J83</f>
        <v>85680</v>
      </c>
      <c r="Q83" s="83">
        <f>SUMIFS(Roster!$O$5:$O$1504,Roster!$B$5:$B$1504,$A83)*J83</f>
        <v>128520.00000000001</v>
      </c>
      <c r="R83" s="82">
        <f t="shared" si="9"/>
        <v>128520.00000000001</v>
      </c>
      <c r="S83" s="82">
        <f t="shared" si="10"/>
        <v>0</v>
      </c>
      <c r="T83" s="82">
        <f t="shared" si="11"/>
        <v>-629.99999999998545</v>
      </c>
      <c r="U83" s="82">
        <f t="shared" si="12"/>
        <v>0</v>
      </c>
      <c r="V83" s="83">
        <f>IF(COUNTIFS(Roster!$B$5:$B$1504,$A83,Roster!$G$5:$G$1504,"&gt;0")=0,0,SUMIFS(Roster!$H$5:$H$1504,Roster!$B$5:$B$1504,$A83,Roster!$G$5:$G$1504,_xlfn.MAXIFS(Roster!$G$5:$G$1504,Roster!$B$5:$B$1504,$A83)))</f>
        <v>0</v>
      </c>
      <c r="W83" s="101" t="str">
        <f t="shared" si="13"/>
        <v>Filled</v>
      </c>
    </row>
    <row r="84" spans="1:23" x14ac:dyDescent="0.25">
      <c r="A84" s="76" t="s">
        <v>482</v>
      </c>
      <c r="B84" s="76" t="s">
        <v>353</v>
      </c>
      <c r="C84" s="76" t="s">
        <v>407</v>
      </c>
      <c r="D84" s="97">
        <v>1</v>
      </c>
      <c r="E84" s="98" t="s">
        <v>325</v>
      </c>
      <c r="F84" s="78">
        <v>54000</v>
      </c>
      <c r="G84" s="97">
        <v>1</v>
      </c>
      <c r="H84" s="98" t="s">
        <v>399</v>
      </c>
      <c r="J84" s="99">
        <f>1+Assumptions!$B$11+INDEX(Assumptions!$B$12:$B$15,D84)*Assumptions!$B$16</f>
        <v>1.3</v>
      </c>
      <c r="K84" s="82">
        <f t="shared" si="7"/>
        <v>70200</v>
      </c>
      <c r="L84" s="100">
        <f>IF(E84="Yes",MAX(0,Assumptions!$B$8-G84+1),0)</f>
        <v>8</v>
      </c>
      <c r="M84" s="82">
        <f t="shared" si="8"/>
        <v>46800</v>
      </c>
      <c r="N84" s="100">
        <f>MIN(1,SUMIFS(Roster!$N$5:$N$1504,Roster!$B$5:$B$1504,$A84))</f>
        <v>1</v>
      </c>
      <c r="O84" s="100">
        <f>SUMIFS(Roster!$L$5:$L$1504,Roster!$B$5:$B$1504,$A84)</f>
        <v>8</v>
      </c>
      <c r="P84" s="83">
        <f>SUMIFS(Roster!$M$5:$M$1504,Roster!$B$5:$B$1504,$A84)*J84</f>
        <v>46280</v>
      </c>
      <c r="Q84" s="83">
        <f>SUMIFS(Roster!$O$5:$O$1504,Roster!$B$5:$B$1504,$A84)*J84</f>
        <v>69420</v>
      </c>
      <c r="R84" s="82">
        <f t="shared" si="9"/>
        <v>69420</v>
      </c>
      <c r="S84" s="82">
        <f t="shared" si="10"/>
        <v>0</v>
      </c>
      <c r="T84" s="82">
        <f t="shared" si="11"/>
        <v>520</v>
      </c>
      <c r="U84" s="82">
        <f t="shared" si="12"/>
        <v>0</v>
      </c>
      <c r="V84" s="83">
        <f>IF(COUNTIFS(Roster!$B$5:$B$1504,$A84,Roster!$G$5:$G$1504,"&gt;0")=0,0,SUMIFS(Roster!$H$5:$H$1504,Roster!$B$5:$B$1504,$A84,Roster!$G$5:$G$1504,_xlfn.MAXIFS(Roster!$G$5:$G$1504,Roster!$B$5:$B$1504,$A84)))</f>
        <v>0</v>
      </c>
      <c r="W84" s="101" t="str">
        <f t="shared" si="13"/>
        <v>Filled</v>
      </c>
    </row>
    <row r="85" spans="1:23" x14ac:dyDescent="0.25">
      <c r="A85" s="76" t="s">
        <v>483</v>
      </c>
      <c r="B85" s="76" t="s">
        <v>353</v>
      </c>
      <c r="C85" s="76" t="s">
        <v>405</v>
      </c>
      <c r="D85" s="97">
        <v>1</v>
      </c>
      <c r="E85" s="98" t="s">
        <v>325</v>
      </c>
      <c r="F85" s="78">
        <v>57000</v>
      </c>
      <c r="G85" s="97">
        <v>1</v>
      </c>
      <c r="H85" s="98" t="s">
        <v>399</v>
      </c>
      <c r="J85" s="99">
        <f>1+Assumptions!$B$11+INDEX(Assumptions!$B$12:$B$15,D85)*Assumptions!$B$16</f>
        <v>1.3</v>
      </c>
      <c r="K85" s="82">
        <f t="shared" si="7"/>
        <v>74100</v>
      </c>
      <c r="L85" s="100">
        <f>IF(E85="Yes",MAX(0,Assumptions!$B$8-G85+1),0)</f>
        <v>8</v>
      </c>
      <c r="M85" s="82">
        <f t="shared" si="8"/>
        <v>49400</v>
      </c>
      <c r="N85" s="100">
        <f>MIN(1,SUMIFS(Roster!$N$5:$N$1504,Roster!$B$5:$B$1504,$A85))</f>
        <v>1</v>
      </c>
      <c r="O85" s="100">
        <f>SUMIFS(Roster!$L$5:$L$1504,Roster!$B$5:$B$1504,$A85)</f>
        <v>8</v>
      </c>
      <c r="P85" s="83">
        <f>SUMIFS(Roster!$M$5:$M$1504,Roster!$B$5:$B$1504,$A85)*J85</f>
        <v>50093.333333333336</v>
      </c>
      <c r="Q85" s="83">
        <f>SUMIFS(Roster!$O$5:$O$1504,Roster!$B$5:$B$1504,$A85)*J85</f>
        <v>75140</v>
      </c>
      <c r="R85" s="82">
        <f t="shared" si="9"/>
        <v>75140</v>
      </c>
      <c r="S85" s="82">
        <f t="shared" si="10"/>
        <v>0</v>
      </c>
      <c r="T85" s="82">
        <f t="shared" si="11"/>
        <v>-693.33333333333576</v>
      </c>
      <c r="U85" s="82">
        <f t="shared" si="12"/>
        <v>0</v>
      </c>
      <c r="V85" s="83">
        <f>IF(COUNTIFS(Roster!$B$5:$B$1504,$A85,Roster!$G$5:$G$1504,"&gt;0")=0,0,SUMIFS(Roster!$H$5:$H$1504,Roster!$B$5:$B$1504,$A85,Roster!$G$5:$G$1504,_xlfn.MAXIFS(Roster!$G$5:$G$1504,Roster!$B$5:$B$1504,$A85)))</f>
        <v>0</v>
      </c>
      <c r="W85" s="101" t="str">
        <f t="shared" si="13"/>
        <v>Filled</v>
      </c>
    </row>
    <row r="86" spans="1:23" x14ac:dyDescent="0.25">
      <c r="A86" s="76" t="s">
        <v>484</v>
      </c>
      <c r="B86" s="76" t="s">
        <v>353</v>
      </c>
      <c r="C86" s="76" t="s">
        <v>401</v>
      </c>
      <c r="D86" s="97">
        <v>2</v>
      </c>
      <c r="E86" s="98" t="s">
        <v>325</v>
      </c>
      <c r="F86" s="78">
        <v>91500</v>
      </c>
      <c r="G86" s="97">
        <v>1</v>
      </c>
      <c r="H86" s="98" t="s">
        <v>399</v>
      </c>
      <c r="J86" s="99">
        <f>1+Assumptions!$B$11+INDEX(Assumptions!$B$12:$B$15,D86)*Assumptions!$B$16</f>
        <v>1.35</v>
      </c>
      <c r="K86" s="82">
        <f t="shared" si="7"/>
        <v>123525.00000000001</v>
      </c>
      <c r="L86" s="100">
        <f>IF(E86="Yes",MAX(0,Assumptions!$B$8-G86+1),0)</f>
        <v>8</v>
      </c>
      <c r="M86" s="82">
        <f t="shared" si="8"/>
        <v>82350.000000000015</v>
      </c>
      <c r="N86" s="100">
        <f>MIN(1,SUMIFS(Roster!$N$5:$N$1504,Roster!$B$5:$B$1504,$A86))</f>
        <v>1</v>
      </c>
      <c r="O86" s="100">
        <f>SUMIFS(Roster!$L$5:$L$1504,Roster!$B$5:$B$1504,$A86)</f>
        <v>8</v>
      </c>
      <c r="P86" s="83">
        <f>SUMIFS(Roster!$M$5:$M$1504,Roster!$B$5:$B$1504,$A86)*J86</f>
        <v>81900</v>
      </c>
      <c r="Q86" s="83">
        <f>SUMIFS(Roster!$O$5:$O$1504,Roster!$B$5:$B$1504,$A86)*J86</f>
        <v>122850.00000000001</v>
      </c>
      <c r="R86" s="82">
        <f t="shared" si="9"/>
        <v>122850.00000000001</v>
      </c>
      <c r="S86" s="82">
        <f t="shared" si="10"/>
        <v>0</v>
      </c>
      <c r="T86" s="82">
        <f t="shared" si="11"/>
        <v>450.00000000001455</v>
      </c>
      <c r="U86" s="82">
        <f t="shared" si="12"/>
        <v>0</v>
      </c>
      <c r="V86" s="83">
        <f>IF(COUNTIFS(Roster!$B$5:$B$1504,$A86,Roster!$G$5:$G$1504,"&gt;0")=0,0,SUMIFS(Roster!$H$5:$H$1504,Roster!$B$5:$B$1504,$A86,Roster!$G$5:$G$1504,_xlfn.MAXIFS(Roster!$G$5:$G$1504,Roster!$B$5:$B$1504,$A86)))</f>
        <v>0</v>
      </c>
      <c r="W86" s="101" t="str">
        <f t="shared" si="13"/>
        <v>Filled</v>
      </c>
    </row>
    <row r="87" spans="1:23" x14ac:dyDescent="0.25">
      <c r="A87" s="76" t="s">
        <v>485</v>
      </c>
      <c r="B87" s="76" t="s">
        <v>353</v>
      </c>
      <c r="C87" s="76" t="s">
        <v>405</v>
      </c>
      <c r="D87" s="97">
        <v>1</v>
      </c>
      <c r="E87" s="98" t="s">
        <v>325</v>
      </c>
      <c r="F87" s="78">
        <v>67000</v>
      </c>
      <c r="G87" s="97">
        <v>1</v>
      </c>
      <c r="H87" s="98" t="s">
        <v>399</v>
      </c>
      <c r="J87" s="99">
        <f>1+Assumptions!$B$11+INDEX(Assumptions!$B$12:$B$15,D87)*Assumptions!$B$16</f>
        <v>1.3</v>
      </c>
      <c r="K87" s="82">
        <f t="shared" si="7"/>
        <v>87100</v>
      </c>
      <c r="L87" s="100">
        <f>IF(E87="Yes",MAX(0,Assumptions!$B$8-G87+1),0)</f>
        <v>8</v>
      </c>
      <c r="M87" s="82">
        <f t="shared" si="8"/>
        <v>58066.666666666664</v>
      </c>
      <c r="N87" s="100">
        <f>MIN(1,SUMIFS(Roster!$N$5:$N$1504,Roster!$B$5:$B$1504,$A87))</f>
        <v>1</v>
      </c>
      <c r="O87" s="100">
        <f>SUMIFS(Roster!$L$5:$L$1504,Roster!$B$5:$B$1504,$A87)</f>
        <v>8</v>
      </c>
      <c r="P87" s="83">
        <f>SUMIFS(Roster!$M$5:$M$1504,Roster!$B$5:$B$1504,$A87)*J87</f>
        <v>58066.666666666664</v>
      </c>
      <c r="Q87" s="83">
        <f>SUMIFS(Roster!$O$5:$O$1504,Roster!$B$5:$B$1504,$A87)*J87</f>
        <v>87100</v>
      </c>
      <c r="R87" s="82">
        <f t="shared" si="9"/>
        <v>87100</v>
      </c>
      <c r="S87" s="82">
        <f t="shared" si="10"/>
        <v>0</v>
      </c>
      <c r="T87" s="82">
        <f t="shared" si="11"/>
        <v>0</v>
      </c>
      <c r="U87" s="82">
        <f t="shared" si="12"/>
        <v>0</v>
      </c>
      <c r="V87" s="83">
        <f>IF(COUNTIFS(Roster!$B$5:$B$1504,$A87,Roster!$G$5:$G$1504,"&gt;0")=0,0,SUMIFS(Roster!$H$5:$H$1504,Roster!$B$5:$B$1504,$A87,Roster!$G$5:$G$1504,_xlfn.MAXIFS(Roster!$G$5:$G$1504,Roster!$B$5:$B$1504,$A87)))</f>
        <v>0</v>
      </c>
      <c r="W87" s="101" t="str">
        <f t="shared" si="13"/>
        <v>Filled</v>
      </c>
    </row>
    <row r="88" spans="1:23" x14ac:dyDescent="0.25">
      <c r="A88" s="76" t="s">
        <v>486</v>
      </c>
      <c r="B88" s="76" t="s">
        <v>353</v>
      </c>
      <c r="C88" s="76" t="s">
        <v>446</v>
      </c>
      <c r="D88" s="97">
        <v>4</v>
      </c>
      <c r="E88" s="98" t="s">
        <v>325</v>
      </c>
      <c r="F88" s="78">
        <v>167500</v>
      </c>
      <c r="G88" s="97">
        <v>1</v>
      </c>
      <c r="H88" s="98" t="s">
        <v>399</v>
      </c>
      <c r="J88" s="99">
        <f>1+Assumptions!$B$11+INDEX(Assumptions!$B$12:$B$15,D88)*Assumptions!$B$16</f>
        <v>1.5</v>
      </c>
      <c r="K88" s="82">
        <f t="shared" si="7"/>
        <v>251250</v>
      </c>
      <c r="L88" s="100">
        <f>IF(E88="Yes",MAX(0,Assumptions!$B$8-G88+1),0)</f>
        <v>8</v>
      </c>
      <c r="M88" s="82">
        <f t="shared" si="8"/>
        <v>167500</v>
      </c>
      <c r="N88" s="100">
        <f>MIN(1,SUMIFS(Roster!$N$5:$N$1504,Roster!$B$5:$B$1504,$A88))</f>
        <v>1</v>
      </c>
      <c r="O88" s="100">
        <f>SUMIFS(Roster!$L$5:$L$1504,Roster!$B$5:$B$1504,$A88)</f>
        <v>8</v>
      </c>
      <c r="P88" s="83">
        <f>SUMIFS(Roster!$M$5:$M$1504,Roster!$B$5:$B$1504,$A88)*J88</f>
        <v>168500</v>
      </c>
      <c r="Q88" s="83">
        <f>SUMIFS(Roster!$O$5:$O$1504,Roster!$B$5:$B$1504,$A88)*J88</f>
        <v>252750</v>
      </c>
      <c r="R88" s="82">
        <f t="shared" si="9"/>
        <v>252750</v>
      </c>
      <c r="S88" s="82">
        <f t="shared" si="10"/>
        <v>0</v>
      </c>
      <c r="T88" s="82">
        <f t="shared" si="11"/>
        <v>-1000</v>
      </c>
      <c r="U88" s="82">
        <f t="shared" si="12"/>
        <v>0</v>
      </c>
      <c r="V88" s="83">
        <f>IF(COUNTIFS(Roster!$B$5:$B$1504,$A88,Roster!$G$5:$G$1504,"&gt;0")=0,0,SUMIFS(Roster!$H$5:$H$1504,Roster!$B$5:$B$1504,$A88,Roster!$G$5:$G$1504,_xlfn.MAXIFS(Roster!$G$5:$G$1504,Roster!$B$5:$B$1504,$A88)))</f>
        <v>0</v>
      </c>
      <c r="W88" s="101" t="str">
        <f t="shared" si="13"/>
        <v>Filled</v>
      </c>
    </row>
    <row r="89" spans="1:23" x14ac:dyDescent="0.25">
      <c r="A89" s="76" t="s">
        <v>487</v>
      </c>
      <c r="B89" s="76" t="s">
        <v>353</v>
      </c>
      <c r="C89" s="76" t="s">
        <v>401</v>
      </c>
      <c r="D89" s="97">
        <v>2</v>
      </c>
      <c r="E89" s="98" t="s">
        <v>325</v>
      </c>
      <c r="F89" s="78">
        <v>74500</v>
      </c>
      <c r="G89" s="97">
        <v>1</v>
      </c>
      <c r="H89" s="98" t="s">
        <v>399</v>
      </c>
      <c r="J89" s="99">
        <f>1+Assumptions!$B$11+INDEX(Assumptions!$B$12:$B$15,D89)*Assumptions!$B$16</f>
        <v>1.35</v>
      </c>
      <c r="K89" s="82">
        <f t="shared" si="7"/>
        <v>100575</v>
      </c>
      <c r="L89" s="100">
        <f>IF(E89="Yes",MAX(0,Assumptions!$B$8-G89+1),0)</f>
        <v>8</v>
      </c>
      <c r="M89" s="82">
        <f t="shared" si="8"/>
        <v>67050</v>
      </c>
      <c r="N89" s="100">
        <f>MIN(1,SUMIFS(Roster!$N$5:$N$1504,Roster!$B$5:$B$1504,$A89))</f>
        <v>1</v>
      </c>
      <c r="O89" s="100">
        <f>SUMIFS(Roster!$L$5:$L$1504,Roster!$B$5:$B$1504,$A89)</f>
        <v>8</v>
      </c>
      <c r="P89" s="83">
        <f>SUMIFS(Roster!$M$5:$M$1504,Roster!$B$5:$B$1504,$A89)*J89</f>
        <v>66420</v>
      </c>
      <c r="Q89" s="83">
        <f>SUMIFS(Roster!$O$5:$O$1504,Roster!$B$5:$B$1504,$A89)*J89</f>
        <v>99630</v>
      </c>
      <c r="R89" s="82">
        <f t="shared" si="9"/>
        <v>99630</v>
      </c>
      <c r="S89" s="82">
        <f t="shared" si="10"/>
        <v>0</v>
      </c>
      <c r="T89" s="82">
        <f t="shared" si="11"/>
        <v>630</v>
      </c>
      <c r="U89" s="82">
        <f t="shared" si="12"/>
        <v>0</v>
      </c>
      <c r="V89" s="83">
        <f>IF(COUNTIFS(Roster!$B$5:$B$1504,$A89,Roster!$G$5:$G$1504,"&gt;0")=0,0,SUMIFS(Roster!$H$5:$H$1504,Roster!$B$5:$B$1504,$A89,Roster!$G$5:$G$1504,_xlfn.MAXIFS(Roster!$G$5:$G$1504,Roster!$B$5:$B$1504,$A89)))</f>
        <v>0</v>
      </c>
      <c r="W89" s="101" t="str">
        <f t="shared" si="13"/>
        <v>Filled</v>
      </c>
    </row>
    <row r="90" spans="1:23" x14ac:dyDescent="0.25">
      <c r="A90" s="76" t="s">
        <v>488</v>
      </c>
      <c r="B90" s="76" t="s">
        <v>353</v>
      </c>
      <c r="C90" s="76" t="s">
        <v>405</v>
      </c>
      <c r="D90" s="97">
        <v>1</v>
      </c>
      <c r="E90" s="98" t="s">
        <v>325</v>
      </c>
      <c r="F90" s="78">
        <v>63000</v>
      </c>
      <c r="G90" s="97">
        <v>1</v>
      </c>
      <c r="H90" s="98" t="s">
        <v>399</v>
      </c>
      <c r="J90" s="99">
        <f>1+Assumptions!$B$11+INDEX(Assumptions!$B$12:$B$15,D90)*Assumptions!$B$16</f>
        <v>1.3</v>
      </c>
      <c r="K90" s="82">
        <f t="shared" si="7"/>
        <v>81900</v>
      </c>
      <c r="L90" s="100">
        <f>IF(E90="Yes",MAX(0,Assumptions!$B$8-G90+1),0)</f>
        <v>8</v>
      </c>
      <c r="M90" s="82">
        <f t="shared" si="8"/>
        <v>54600</v>
      </c>
      <c r="N90" s="100">
        <f>MIN(1,SUMIFS(Roster!$N$5:$N$1504,Roster!$B$5:$B$1504,$A90))</f>
        <v>1</v>
      </c>
      <c r="O90" s="100">
        <f>SUMIFS(Roster!$L$5:$L$1504,Roster!$B$5:$B$1504,$A90)</f>
        <v>8</v>
      </c>
      <c r="P90" s="83">
        <f>SUMIFS(Roster!$M$5:$M$1504,Roster!$B$5:$B$1504,$A90)*J90</f>
        <v>54166.666666666664</v>
      </c>
      <c r="Q90" s="83">
        <f>SUMIFS(Roster!$O$5:$O$1504,Roster!$B$5:$B$1504,$A90)*J90</f>
        <v>81250</v>
      </c>
      <c r="R90" s="82">
        <f t="shared" si="9"/>
        <v>81250</v>
      </c>
      <c r="S90" s="82">
        <f t="shared" si="10"/>
        <v>0</v>
      </c>
      <c r="T90" s="82">
        <f t="shared" si="11"/>
        <v>433.33333333333576</v>
      </c>
      <c r="U90" s="82">
        <f t="shared" si="12"/>
        <v>0</v>
      </c>
      <c r="V90" s="83">
        <f>IF(COUNTIFS(Roster!$B$5:$B$1504,$A90,Roster!$G$5:$G$1504,"&gt;0")=0,0,SUMIFS(Roster!$H$5:$H$1504,Roster!$B$5:$B$1504,$A90,Roster!$G$5:$G$1504,_xlfn.MAXIFS(Roster!$G$5:$G$1504,Roster!$B$5:$B$1504,$A90)))</f>
        <v>0</v>
      </c>
      <c r="W90" s="101" t="str">
        <f t="shared" si="13"/>
        <v>Filled</v>
      </c>
    </row>
    <row r="91" spans="1:23" x14ac:dyDescent="0.25">
      <c r="A91" s="76" t="s">
        <v>489</v>
      </c>
      <c r="B91" s="76" t="s">
        <v>353</v>
      </c>
      <c r="C91" s="76" t="s">
        <v>398</v>
      </c>
      <c r="D91" s="97">
        <v>3</v>
      </c>
      <c r="E91" s="98" t="s">
        <v>325</v>
      </c>
      <c r="F91" s="78">
        <v>116500</v>
      </c>
      <c r="G91" s="97">
        <v>1</v>
      </c>
      <c r="H91" s="98" t="s">
        <v>399</v>
      </c>
      <c r="J91" s="99">
        <f>1+Assumptions!$B$11+INDEX(Assumptions!$B$12:$B$15,D91)*Assumptions!$B$16</f>
        <v>1.4</v>
      </c>
      <c r="K91" s="82">
        <f t="shared" si="7"/>
        <v>163100</v>
      </c>
      <c r="L91" s="100">
        <f>IF(E91="Yes",MAX(0,Assumptions!$B$8-G91+1),0)</f>
        <v>8</v>
      </c>
      <c r="M91" s="82">
        <f t="shared" si="8"/>
        <v>108733.33333333333</v>
      </c>
      <c r="N91" s="100">
        <f>MIN(1,SUMIFS(Roster!$N$5:$N$1504,Roster!$B$5:$B$1504,$A91))</f>
        <v>1</v>
      </c>
      <c r="O91" s="100">
        <f>SUMIFS(Roster!$L$5:$L$1504,Roster!$B$5:$B$1504,$A91)</f>
        <v>8</v>
      </c>
      <c r="P91" s="83">
        <f>SUMIFS(Roster!$M$5:$M$1504,Roster!$B$5:$B$1504,$A91)*J91</f>
        <v>110133.33333333333</v>
      </c>
      <c r="Q91" s="83">
        <f>SUMIFS(Roster!$O$5:$O$1504,Roster!$B$5:$B$1504,$A91)*J91</f>
        <v>165200</v>
      </c>
      <c r="R91" s="82">
        <f t="shared" si="9"/>
        <v>165200</v>
      </c>
      <c r="S91" s="82">
        <f t="shared" si="10"/>
        <v>0</v>
      </c>
      <c r="T91" s="82">
        <f t="shared" si="11"/>
        <v>-1400</v>
      </c>
      <c r="U91" s="82">
        <f t="shared" si="12"/>
        <v>0</v>
      </c>
      <c r="V91" s="83">
        <f>IF(COUNTIFS(Roster!$B$5:$B$1504,$A91,Roster!$G$5:$G$1504,"&gt;0")=0,0,SUMIFS(Roster!$H$5:$H$1504,Roster!$B$5:$B$1504,$A91,Roster!$G$5:$G$1504,_xlfn.MAXIFS(Roster!$G$5:$G$1504,Roster!$B$5:$B$1504,$A91)))</f>
        <v>0</v>
      </c>
      <c r="W91" s="101" t="str">
        <f t="shared" si="13"/>
        <v>Filled</v>
      </c>
    </row>
    <row r="92" spans="1:23" x14ac:dyDescent="0.25">
      <c r="A92" s="76" t="s">
        <v>490</v>
      </c>
      <c r="B92" s="76" t="s">
        <v>353</v>
      </c>
      <c r="C92" s="76" t="s">
        <v>401</v>
      </c>
      <c r="D92" s="97">
        <v>2</v>
      </c>
      <c r="E92" s="98" t="s">
        <v>325</v>
      </c>
      <c r="F92" s="78">
        <v>77500</v>
      </c>
      <c r="G92" s="97">
        <v>1</v>
      </c>
      <c r="H92" s="98" t="s">
        <v>399</v>
      </c>
      <c r="J92" s="99">
        <f>1+Assumptions!$B$11+INDEX(Assumptions!$B$12:$B$15,D92)*Assumptions!$B$16</f>
        <v>1.35</v>
      </c>
      <c r="K92" s="82">
        <f t="shared" si="7"/>
        <v>104625</v>
      </c>
      <c r="L92" s="100">
        <f>IF(E92="Yes",MAX(0,Assumptions!$B$8-G92+1),0)</f>
        <v>8</v>
      </c>
      <c r="M92" s="82">
        <f t="shared" si="8"/>
        <v>69750</v>
      </c>
      <c r="N92" s="100">
        <f>MIN(1,SUMIFS(Roster!$N$5:$N$1504,Roster!$B$5:$B$1504,$A92))</f>
        <v>1</v>
      </c>
      <c r="O92" s="100">
        <f>SUMIFS(Roster!$L$5:$L$1504,Roster!$B$5:$B$1504,$A92)</f>
        <v>8</v>
      </c>
      <c r="P92" s="83">
        <f>SUMIFS(Roster!$M$5:$M$1504,Roster!$B$5:$B$1504,$A92)*J92</f>
        <v>70290</v>
      </c>
      <c r="Q92" s="83">
        <f>SUMIFS(Roster!$O$5:$O$1504,Roster!$B$5:$B$1504,$A92)*J92</f>
        <v>105435</v>
      </c>
      <c r="R92" s="82">
        <f t="shared" si="9"/>
        <v>105435</v>
      </c>
      <c r="S92" s="82">
        <f t="shared" si="10"/>
        <v>0</v>
      </c>
      <c r="T92" s="82">
        <f t="shared" si="11"/>
        <v>-540</v>
      </c>
      <c r="U92" s="82">
        <f t="shared" si="12"/>
        <v>0</v>
      </c>
      <c r="V92" s="83">
        <f>IF(COUNTIFS(Roster!$B$5:$B$1504,$A92,Roster!$G$5:$G$1504,"&gt;0")=0,0,SUMIFS(Roster!$H$5:$H$1504,Roster!$B$5:$B$1504,$A92,Roster!$G$5:$G$1504,_xlfn.MAXIFS(Roster!$G$5:$G$1504,Roster!$B$5:$B$1504,$A92)))</f>
        <v>0</v>
      </c>
      <c r="W92" s="101" t="str">
        <f t="shared" si="13"/>
        <v>Filled</v>
      </c>
    </row>
    <row r="93" spans="1:23" x14ac:dyDescent="0.25">
      <c r="A93" s="76" t="s">
        <v>491</v>
      </c>
      <c r="B93" s="76" t="s">
        <v>353</v>
      </c>
      <c r="C93" s="76" t="s">
        <v>405</v>
      </c>
      <c r="D93" s="97">
        <v>1</v>
      </c>
      <c r="E93" s="98" t="s">
        <v>325</v>
      </c>
      <c r="F93" s="78">
        <v>54000</v>
      </c>
      <c r="G93" s="97">
        <v>1</v>
      </c>
      <c r="H93" s="98" t="s">
        <v>399</v>
      </c>
      <c r="J93" s="99">
        <f>1+Assumptions!$B$11+INDEX(Assumptions!$B$12:$B$15,D93)*Assumptions!$B$16</f>
        <v>1.3</v>
      </c>
      <c r="K93" s="82">
        <f t="shared" si="7"/>
        <v>70200</v>
      </c>
      <c r="L93" s="100">
        <f>IF(E93="Yes",MAX(0,Assumptions!$B$8-G93+1),0)</f>
        <v>8</v>
      </c>
      <c r="M93" s="82">
        <f t="shared" si="8"/>
        <v>46800</v>
      </c>
      <c r="N93" s="100">
        <f>MIN(1,SUMIFS(Roster!$N$5:$N$1504,Roster!$B$5:$B$1504,$A93))</f>
        <v>1</v>
      </c>
      <c r="O93" s="100">
        <f>SUMIFS(Roster!$L$5:$L$1504,Roster!$B$5:$B$1504,$A93)</f>
        <v>8</v>
      </c>
      <c r="P93" s="83">
        <f>SUMIFS(Roster!$M$5:$M$1504,Roster!$B$5:$B$1504,$A93)*J93</f>
        <v>47320</v>
      </c>
      <c r="Q93" s="83">
        <f>SUMIFS(Roster!$O$5:$O$1504,Roster!$B$5:$B$1504,$A93)*J93</f>
        <v>70980</v>
      </c>
      <c r="R93" s="82">
        <f t="shared" si="9"/>
        <v>70980</v>
      </c>
      <c r="S93" s="82">
        <f t="shared" si="10"/>
        <v>0</v>
      </c>
      <c r="T93" s="82">
        <f t="shared" si="11"/>
        <v>-520</v>
      </c>
      <c r="U93" s="82">
        <f t="shared" si="12"/>
        <v>0</v>
      </c>
      <c r="V93" s="83">
        <f>IF(COUNTIFS(Roster!$B$5:$B$1504,$A93,Roster!$G$5:$G$1504,"&gt;0")=0,0,SUMIFS(Roster!$H$5:$H$1504,Roster!$B$5:$B$1504,$A93,Roster!$G$5:$G$1504,_xlfn.MAXIFS(Roster!$G$5:$G$1504,Roster!$B$5:$B$1504,$A93)))</f>
        <v>0</v>
      </c>
      <c r="W93" s="101" t="str">
        <f t="shared" si="13"/>
        <v>Filled</v>
      </c>
    </row>
    <row r="94" spans="1:23" x14ac:dyDescent="0.25">
      <c r="A94" s="76" t="s">
        <v>492</v>
      </c>
      <c r="B94" s="76" t="s">
        <v>353</v>
      </c>
      <c r="C94" s="76" t="s">
        <v>407</v>
      </c>
      <c r="D94" s="97">
        <v>1</v>
      </c>
      <c r="E94" s="98" t="s">
        <v>325</v>
      </c>
      <c r="F94" s="78">
        <v>60000</v>
      </c>
      <c r="G94" s="97">
        <v>1</v>
      </c>
      <c r="H94" s="98" t="s">
        <v>399</v>
      </c>
      <c r="J94" s="99">
        <f>1+Assumptions!$B$11+INDEX(Assumptions!$B$12:$B$15,D94)*Assumptions!$B$16</f>
        <v>1.3</v>
      </c>
      <c r="K94" s="82">
        <f t="shared" si="7"/>
        <v>78000</v>
      </c>
      <c r="L94" s="100">
        <f>IF(E94="Yes",MAX(0,Assumptions!$B$8-G94+1),0)</f>
        <v>8</v>
      </c>
      <c r="M94" s="82">
        <f t="shared" si="8"/>
        <v>52000</v>
      </c>
      <c r="N94" s="100">
        <f>MIN(1,SUMIFS(Roster!$N$5:$N$1504,Roster!$B$5:$B$1504,$A94))</f>
        <v>1</v>
      </c>
      <c r="O94" s="100">
        <f>SUMIFS(Roster!$L$5:$L$1504,Roster!$B$5:$B$1504,$A94)</f>
        <v>8</v>
      </c>
      <c r="P94" s="83">
        <f>SUMIFS(Roster!$M$5:$M$1504,Roster!$B$5:$B$1504,$A94)*J94</f>
        <v>52606.666666666664</v>
      </c>
      <c r="Q94" s="83">
        <f>SUMIFS(Roster!$O$5:$O$1504,Roster!$B$5:$B$1504,$A94)*J94</f>
        <v>78910</v>
      </c>
      <c r="R94" s="82">
        <f t="shared" si="9"/>
        <v>78910</v>
      </c>
      <c r="S94" s="82">
        <f t="shared" si="10"/>
        <v>0</v>
      </c>
      <c r="T94" s="82">
        <f t="shared" si="11"/>
        <v>-606.66666666666424</v>
      </c>
      <c r="U94" s="82">
        <f t="shared" si="12"/>
        <v>0</v>
      </c>
      <c r="V94" s="83">
        <f>IF(COUNTIFS(Roster!$B$5:$B$1504,$A94,Roster!$G$5:$G$1504,"&gt;0")=0,0,SUMIFS(Roster!$H$5:$H$1504,Roster!$B$5:$B$1504,$A94,Roster!$G$5:$G$1504,_xlfn.MAXIFS(Roster!$G$5:$G$1504,Roster!$B$5:$B$1504,$A94)))</f>
        <v>0</v>
      </c>
      <c r="W94" s="101" t="str">
        <f t="shared" si="13"/>
        <v>Filled</v>
      </c>
    </row>
    <row r="95" spans="1:23" x14ac:dyDescent="0.25">
      <c r="A95" s="76" t="s">
        <v>493</v>
      </c>
      <c r="B95" s="76" t="s">
        <v>353</v>
      </c>
      <c r="C95" s="76" t="s">
        <v>405</v>
      </c>
      <c r="D95" s="97">
        <v>1</v>
      </c>
      <c r="E95" s="98" t="s">
        <v>325</v>
      </c>
      <c r="F95" s="78">
        <v>61000</v>
      </c>
      <c r="G95" s="97">
        <v>1</v>
      </c>
      <c r="H95" s="98" t="s">
        <v>399</v>
      </c>
      <c r="J95" s="99">
        <f>1+Assumptions!$B$11+INDEX(Assumptions!$B$12:$B$15,D95)*Assumptions!$B$16</f>
        <v>1.3</v>
      </c>
      <c r="K95" s="82">
        <f t="shared" si="7"/>
        <v>79300</v>
      </c>
      <c r="L95" s="100">
        <f>IF(E95="Yes",MAX(0,Assumptions!$B$8-G95+1),0)</f>
        <v>8</v>
      </c>
      <c r="M95" s="82">
        <f t="shared" si="8"/>
        <v>52866.666666666664</v>
      </c>
      <c r="N95" s="100">
        <f>MIN(1,SUMIFS(Roster!$N$5:$N$1504,Roster!$B$5:$B$1504,$A95))</f>
        <v>1</v>
      </c>
      <c r="O95" s="100">
        <f>SUMIFS(Roster!$L$5:$L$1504,Roster!$B$5:$B$1504,$A95)</f>
        <v>8</v>
      </c>
      <c r="P95" s="83">
        <f>SUMIFS(Roster!$M$5:$M$1504,Roster!$B$5:$B$1504,$A95)*J95</f>
        <v>53300</v>
      </c>
      <c r="Q95" s="83">
        <f>SUMIFS(Roster!$O$5:$O$1504,Roster!$B$5:$B$1504,$A95)*J95</f>
        <v>79950</v>
      </c>
      <c r="R95" s="82">
        <f t="shared" si="9"/>
        <v>79950</v>
      </c>
      <c r="S95" s="82">
        <f t="shared" si="10"/>
        <v>0</v>
      </c>
      <c r="T95" s="82">
        <f t="shared" si="11"/>
        <v>-433.33333333333576</v>
      </c>
      <c r="U95" s="82">
        <f t="shared" si="12"/>
        <v>0</v>
      </c>
      <c r="V95" s="83">
        <f>IF(COUNTIFS(Roster!$B$5:$B$1504,$A95,Roster!$G$5:$G$1504,"&gt;0")=0,0,SUMIFS(Roster!$H$5:$H$1504,Roster!$B$5:$B$1504,$A95,Roster!$G$5:$G$1504,_xlfn.MAXIFS(Roster!$G$5:$G$1504,Roster!$B$5:$B$1504,$A95)))</f>
        <v>0</v>
      </c>
      <c r="W95" s="101" t="str">
        <f t="shared" si="13"/>
        <v>Filled</v>
      </c>
    </row>
    <row r="96" spans="1:23" x14ac:dyDescent="0.25">
      <c r="A96" s="76" t="s">
        <v>494</v>
      </c>
      <c r="B96" s="76" t="s">
        <v>353</v>
      </c>
      <c r="C96" s="76" t="s">
        <v>401</v>
      </c>
      <c r="D96" s="97">
        <v>2</v>
      </c>
      <c r="E96" s="98" t="s">
        <v>325</v>
      </c>
      <c r="F96" s="78">
        <v>87500</v>
      </c>
      <c r="G96" s="97">
        <v>1</v>
      </c>
      <c r="H96" s="98" t="s">
        <v>399</v>
      </c>
      <c r="J96" s="99">
        <f>1+Assumptions!$B$11+INDEX(Assumptions!$B$12:$B$15,D96)*Assumptions!$B$16</f>
        <v>1.35</v>
      </c>
      <c r="K96" s="82">
        <f t="shared" si="7"/>
        <v>118125.00000000001</v>
      </c>
      <c r="L96" s="100">
        <f>IF(E96="Yes",MAX(0,Assumptions!$B$8-G96+1),0)</f>
        <v>8</v>
      </c>
      <c r="M96" s="82">
        <f t="shared" si="8"/>
        <v>78750.000000000015</v>
      </c>
      <c r="N96" s="100">
        <f>MIN(1,SUMIFS(Roster!$N$5:$N$1504,Roster!$B$5:$B$1504,$A96))</f>
        <v>1</v>
      </c>
      <c r="O96" s="100">
        <f>SUMIFS(Roster!$L$5:$L$1504,Roster!$B$5:$B$1504,$A96)</f>
        <v>8</v>
      </c>
      <c r="P96" s="83">
        <f>SUMIFS(Roster!$M$5:$M$1504,Roster!$B$5:$B$1504,$A96)*J96</f>
        <v>78390</v>
      </c>
      <c r="Q96" s="83">
        <f>SUMIFS(Roster!$O$5:$O$1504,Roster!$B$5:$B$1504,$A96)*J96</f>
        <v>117585.00000000001</v>
      </c>
      <c r="R96" s="82">
        <f t="shared" si="9"/>
        <v>117585.00000000001</v>
      </c>
      <c r="S96" s="82">
        <f t="shared" si="10"/>
        <v>0</v>
      </c>
      <c r="T96" s="82">
        <f t="shared" si="11"/>
        <v>360.00000000001455</v>
      </c>
      <c r="U96" s="82">
        <f t="shared" si="12"/>
        <v>0</v>
      </c>
      <c r="V96" s="83">
        <f>IF(COUNTIFS(Roster!$B$5:$B$1504,$A96,Roster!$G$5:$G$1504,"&gt;0")=0,0,SUMIFS(Roster!$H$5:$H$1504,Roster!$B$5:$B$1504,$A96,Roster!$G$5:$G$1504,_xlfn.MAXIFS(Roster!$G$5:$G$1504,Roster!$B$5:$B$1504,$A96)))</f>
        <v>0</v>
      </c>
      <c r="W96" s="101" t="str">
        <f t="shared" si="13"/>
        <v>Filled</v>
      </c>
    </row>
    <row r="97" spans="1:23" x14ac:dyDescent="0.25">
      <c r="A97" s="76" t="s">
        <v>495</v>
      </c>
      <c r="B97" s="76" t="s">
        <v>353</v>
      </c>
      <c r="C97" s="76" t="s">
        <v>398</v>
      </c>
      <c r="D97" s="97">
        <v>3</v>
      </c>
      <c r="E97" s="98" t="s">
        <v>325</v>
      </c>
      <c r="F97" s="78">
        <v>127500</v>
      </c>
      <c r="G97" s="97">
        <v>1</v>
      </c>
      <c r="H97" s="98" t="s">
        <v>399</v>
      </c>
      <c r="J97" s="99">
        <f>1+Assumptions!$B$11+INDEX(Assumptions!$B$12:$B$15,D97)*Assumptions!$B$16</f>
        <v>1.4</v>
      </c>
      <c r="K97" s="82">
        <f t="shared" si="7"/>
        <v>178500</v>
      </c>
      <c r="L97" s="100">
        <f>IF(E97="Yes",MAX(0,Assumptions!$B$8-G97+1),0)</f>
        <v>8</v>
      </c>
      <c r="M97" s="82">
        <f t="shared" si="8"/>
        <v>119000</v>
      </c>
      <c r="N97" s="100">
        <f>MIN(1,SUMIFS(Roster!$N$5:$N$1504,Roster!$B$5:$B$1504,$A97))</f>
        <v>1</v>
      </c>
      <c r="O97" s="100">
        <f>SUMIFS(Roster!$L$5:$L$1504,Roster!$B$5:$B$1504,$A97)</f>
        <v>8</v>
      </c>
      <c r="P97" s="83">
        <f>SUMIFS(Roster!$M$5:$M$1504,Roster!$B$5:$B$1504,$A97)*J97</f>
        <v>119559.99999999999</v>
      </c>
      <c r="Q97" s="83">
        <f>SUMIFS(Roster!$O$5:$O$1504,Roster!$B$5:$B$1504,$A97)*J97</f>
        <v>179340</v>
      </c>
      <c r="R97" s="82">
        <f t="shared" si="9"/>
        <v>179340</v>
      </c>
      <c r="S97" s="82">
        <f t="shared" si="10"/>
        <v>0</v>
      </c>
      <c r="T97" s="82">
        <f t="shared" si="11"/>
        <v>-559.99999999998545</v>
      </c>
      <c r="U97" s="82">
        <f t="shared" si="12"/>
        <v>0</v>
      </c>
      <c r="V97" s="83">
        <f>IF(COUNTIFS(Roster!$B$5:$B$1504,$A97,Roster!$G$5:$G$1504,"&gt;0")=0,0,SUMIFS(Roster!$H$5:$H$1504,Roster!$B$5:$B$1504,$A97,Roster!$G$5:$G$1504,_xlfn.MAXIFS(Roster!$G$5:$G$1504,Roster!$B$5:$B$1504,$A97)))</f>
        <v>0</v>
      </c>
      <c r="W97" s="101" t="str">
        <f t="shared" si="13"/>
        <v>Filled</v>
      </c>
    </row>
    <row r="98" spans="1:23" x14ac:dyDescent="0.25">
      <c r="A98" s="76" t="s">
        <v>496</v>
      </c>
      <c r="B98" s="76" t="s">
        <v>353</v>
      </c>
      <c r="C98" s="76" t="s">
        <v>405</v>
      </c>
      <c r="D98" s="97">
        <v>1</v>
      </c>
      <c r="E98" s="98" t="s">
        <v>325</v>
      </c>
      <c r="F98" s="78">
        <v>59000</v>
      </c>
      <c r="G98" s="97">
        <v>1</v>
      </c>
      <c r="H98" s="98" t="s">
        <v>399</v>
      </c>
      <c r="J98" s="99">
        <f>1+Assumptions!$B$11+INDEX(Assumptions!$B$12:$B$15,D98)*Assumptions!$B$16</f>
        <v>1.3</v>
      </c>
      <c r="K98" s="82">
        <f t="shared" si="7"/>
        <v>76700</v>
      </c>
      <c r="L98" s="100">
        <f>IF(E98="Yes",MAX(0,Assumptions!$B$8-G98+1),0)</f>
        <v>8</v>
      </c>
      <c r="M98" s="82">
        <f t="shared" si="8"/>
        <v>51133.333333333336</v>
      </c>
      <c r="N98" s="100">
        <f>MIN(1,SUMIFS(Roster!$N$5:$N$1504,Roster!$B$5:$B$1504,$A98))</f>
        <v>1</v>
      </c>
      <c r="O98" s="100">
        <f>SUMIFS(Roster!$L$5:$L$1504,Roster!$B$5:$B$1504,$A98)</f>
        <v>8</v>
      </c>
      <c r="P98" s="83">
        <f>SUMIFS(Roster!$M$5:$M$1504,Roster!$B$5:$B$1504,$A98)*J98</f>
        <v>50960</v>
      </c>
      <c r="Q98" s="83">
        <f>SUMIFS(Roster!$O$5:$O$1504,Roster!$B$5:$B$1504,$A98)*J98</f>
        <v>76440</v>
      </c>
      <c r="R98" s="82">
        <f t="shared" si="9"/>
        <v>76440</v>
      </c>
      <c r="S98" s="82">
        <f t="shared" si="10"/>
        <v>0</v>
      </c>
      <c r="T98" s="82">
        <f t="shared" si="11"/>
        <v>173.33333333333576</v>
      </c>
      <c r="U98" s="82">
        <f t="shared" si="12"/>
        <v>0</v>
      </c>
      <c r="V98" s="83">
        <f>IF(COUNTIFS(Roster!$B$5:$B$1504,$A98,Roster!$G$5:$G$1504,"&gt;0")=0,0,SUMIFS(Roster!$H$5:$H$1504,Roster!$B$5:$B$1504,$A98,Roster!$G$5:$G$1504,_xlfn.MAXIFS(Roster!$G$5:$G$1504,Roster!$B$5:$B$1504,$A98)))</f>
        <v>0</v>
      </c>
      <c r="W98" s="101" t="str">
        <f t="shared" si="13"/>
        <v>Filled</v>
      </c>
    </row>
    <row r="99" spans="1:23" x14ac:dyDescent="0.25">
      <c r="A99" s="76" t="s">
        <v>497</v>
      </c>
      <c r="B99" s="76" t="s">
        <v>353</v>
      </c>
      <c r="C99" s="76" t="s">
        <v>407</v>
      </c>
      <c r="D99" s="97">
        <v>1</v>
      </c>
      <c r="E99" s="98" t="s">
        <v>325</v>
      </c>
      <c r="F99" s="78">
        <v>67000</v>
      </c>
      <c r="G99" s="97">
        <v>1</v>
      </c>
      <c r="H99" s="98" t="s">
        <v>399</v>
      </c>
      <c r="J99" s="99">
        <f>1+Assumptions!$B$11+INDEX(Assumptions!$B$12:$B$15,D99)*Assumptions!$B$16</f>
        <v>1.3</v>
      </c>
      <c r="K99" s="82">
        <f t="shared" si="7"/>
        <v>87100</v>
      </c>
      <c r="L99" s="100">
        <f>IF(E99="Yes",MAX(0,Assumptions!$B$8-G99+1),0)</f>
        <v>8</v>
      </c>
      <c r="M99" s="82">
        <f t="shared" si="8"/>
        <v>58066.666666666664</v>
      </c>
      <c r="N99" s="100">
        <f>MIN(1,SUMIFS(Roster!$N$5:$N$1504,Roster!$B$5:$B$1504,$A99))</f>
        <v>1</v>
      </c>
      <c r="O99" s="100">
        <f>SUMIFS(Roster!$L$5:$L$1504,Roster!$B$5:$B$1504,$A99)</f>
        <v>8</v>
      </c>
      <c r="P99" s="83">
        <f>SUMIFS(Roster!$M$5:$M$1504,Roster!$B$5:$B$1504,$A99)*J99</f>
        <v>57806.666666666664</v>
      </c>
      <c r="Q99" s="83">
        <f>SUMIFS(Roster!$O$5:$O$1504,Roster!$B$5:$B$1504,$A99)*J99</f>
        <v>86710</v>
      </c>
      <c r="R99" s="82">
        <f t="shared" si="9"/>
        <v>86710</v>
      </c>
      <c r="S99" s="82">
        <f t="shared" si="10"/>
        <v>0</v>
      </c>
      <c r="T99" s="82">
        <f t="shared" si="11"/>
        <v>260</v>
      </c>
      <c r="U99" s="82">
        <f t="shared" si="12"/>
        <v>0</v>
      </c>
      <c r="V99" s="83">
        <f>IF(COUNTIFS(Roster!$B$5:$B$1504,$A99,Roster!$G$5:$G$1504,"&gt;0")=0,0,SUMIFS(Roster!$H$5:$H$1504,Roster!$B$5:$B$1504,$A99,Roster!$G$5:$G$1504,_xlfn.MAXIFS(Roster!$G$5:$G$1504,Roster!$B$5:$B$1504,$A99)))</f>
        <v>0</v>
      </c>
      <c r="W99" s="101" t="str">
        <f t="shared" si="13"/>
        <v>Filled</v>
      </c>
    </row>
    <row r="100" spans="1:23" x14ac:dyDescent="0.25">
      <c r="A100" s="76" t="s">
        <v>498</v>
      </c>
      <c r="B100" s="76" t="s">
        <v>353</v>
      </c>
      <c r="C100" s="76" t="s">
        <v>405</v>
      </c>
      <c r="D100" s="97">
        <v>1</v>
      </c>
      <c r="E100" s="98" t="s">
        <v>325</v>
      </c>
      <c r="F100" s="78">
        <v>61000</v>
      </c>
      <c r="G100" s="97">
        <v>1</v>
      </c>
      <c r="H100" s="98" t="s">
        <v>399</v>
      </c>
      <c r="J100" s="99">
        <f>1+Assumptions!$B$11+INDEX(Assumptions!$B$12:$B$15,D100)*Assumptions!$B$16</f>
        <v>1.3</v>
      </c>
      <c r="K100" s="82">
        <f t="shared" si="7"/>
        <v>79300</v>
      </c>
      <c r="L100" s="100">
        <f>IF(E100="Yes",MAX(0,Assumptions!$B$8-G100+1),0)</f>
        <v>8</v>
      </c>
      <c r="M100" s="82">
        <f t="shared" si="8"/>
        <v>52866.666666666664</v>
      </c>
      <c r="N100" s="100">
        <f>MIN(1,SUMIFS(Roster!$N$5:$N$1504,Roster!$B$5:$B$1504,$A100))</f>
        <v>0</v>
      </c>
      <c r="O100" s="100">
        <f>SUMIFS(Roster!$L$5:$L$1504,Roster!$B$5:$B$1504,$A100)</f>
        <v>4</v>
      </c>
      <c r="P100" s="83">
        <f>SUMIFS(Roster!$M$5:$M$1504,Roster!$B$5:$B$1504,$A100)*J100</f>
        <v>26433.333333333332</v>
      </c>
      <c r="Q100" s="83">
        <f>SUMIFS(Roster!$O$5:$O$1504,Roster!$B$5:$B$1504,$A100)*J100</f>
        <v>0</v>
      </c>
      <c r="R100" s="82">
        <f t="shared" si="9"/>
        <v>79300</v>
      </c>
      <c r="S100" s="82">
        <f t="shared" si="10"/>
        <v>26433.333333333332</v>
      </c>
      <c r="T100" s="82">
        <f t="shared" si="11"/>
        <v>0</v>
      </c>
      <c r="U100" s="82">
        <f t="shared" si="12"/>
        <v>0</v>
      </c>
      <c r="V100" s="83">
        <f>IF(COUNTIFS(Roster!$B$5:$B$1504,$A100,Roster!$G$5:$G$1504,"&gt;0")=0,0,SUMIFS(Roster!$H$5:$H$1504,Roster!$B$5:$B$1504,$A100,Roster!$G$5:$G$1504,_xlfn.MAXIFS(Roster!$G$5:$G$1504,Roster!$B$5:$B$1504,$A100)))</f>
        <v>61000</v>
      </c>
      <c r="W100" s="101" t="str">
        <f t="shared" si="13"/>
        <v>Open: to fill</v>
      </c>
    </row>
    <row r="101" spans="1:23" x14ac:dyDescent="0.25">
      <c r="A101" s="76" t="s">
        <v>499</v>
      </c>
      <c r="B101" s="76" t="s">
        <v>353</v>
      </c>
      <c r="C101" s="76" t="s">
        <v>401</v>
      </c>
      <c r="D101" s="97">
        <v>2</v>
      </c>
      <c r="E101" s="98" t="s">
        <v>325</v>
      </c>
      <c r="F101" s="78">
        <v>75000</v>
      </c>
      <c r="G101" s="97">
        <v>1</v>
      </c>
      <c r="H101" s="98" t="s">
        <v>399</v>
      </c>
      <c r="J101" s="99">
        <f>1+Assumptions!$B$11+INDEX(Assumptions!$B$12:$B$15,D101)*Assumptions!$B$16</f>
        <v>1.35</v>
      </c>
      <c r="K101" s="82">
        <f t="shared" si="7"/>
        <v>101250</v>
      </c>
      <c r="L101" s="100">
        <f>IF(E101="Yes",MAX(0,Assumptions!$B$8-G101+1),0)</f>
        <v>8</v>
      </c>
      <c r="M101" s="82">
        <f t="shared" si="8"/>
        <v>67500</v>
      </c>
      <c r="N101" s="100">
        <f>MIN(1,SUMIFS(Roster!$N$5:$N$1504,Roster!$B$5:$B$1504,$A101))</f>
        <v>1</v>
      </c>
      <c r="O101" s="100">
        <f>SUMIFS(Roster!$L$5:$L$1504,Roster!$B$5:$B$1504,$A101)</f>
        <v>6</v>
      </c>
      <c r="P101" s="83">
        <f>SUMIFS(Roster!$M$5:$M$1504,Roster!$B$5:$B$1504,$A101)*J101</f>
        <v>52110</v>
      </c>
      <c r="Q101" s="83">
        <f>SUMIFS(Roster!$O$5:$O$1504,Roster!$B$5:$B$1504,$A101)*J101</f>
        <v>109350</v>
      </c>
      <c r="R101" s="82">
        <f t="shared" si="9"/>
        <v>109350</v>
      </c>
      <c r="S101" s="82">
        <f t="shared" si="10"/>
        <v>16875</v>
      </c>
      <c r="T101" s="82">
        <f t="shared" si="11"/>
        <v>-1485</v>
      </c>
      <c r="U101" s="82">
        <f t="shared" si="12"/>
        <v>0</v>
      </c>
      <c r="V101" s="83">
        <f>IF(COUNTIFS(Roster!$B$5:$B$1504,$A101,Roster!$G$5:$G$1504,"&gt;0")=0,0,SUMIFS(Roster!$H$5:$H$1504,Roster!$B$5:$B$1504,$A101,Roster!$G$5:$G$1504,_xlfn.MAXIFS(Roster!$G$5:$G$1504,Roster!$B$5:$B$1504,$A101)))</f>
        <v>75300</v>
      </c>
      <c r="W101" s="101" t="str">
        <f t="shared" si="13"/>
        <v>Filled</v>
      </c>
    </row>
    <row r="102" spans="1:23" x14ac:dyDescent="0.25">
      <c r="A102" s="76" t="s">
        <v>500</v>
      </c>
      <c r="B102" s="76" t="s">
        <v>353</v>
      </c>
      <c r="C102" s="76" t="s">
        <v>401</v>
      </c>
      <c r="D102" s="97">
        <v>2</v>
      </c>
      <c r="E102" s="98" t="s">
        <v>325</v>
      </c>
      <c r="F102" s="78">
        <v>84000</v>
      </c>
      <c r="G102" s="97">
        <v>1</v>
      </c>
      <c r="H102" s="98" t="s">
        <v>399</v>
      </c>
      <c r="J102" s="99">
        <f>1+Assumptions!$B$11+INDEX(Assumptions!$B$12:$B$15,D102)*Assumptions!$B$16</f>
        <v>1.35</v>
      </c>
      <c r="K102" s="82">
        <f t="shared" si="7"/>
        <v>113400.00000000001</v>
      </c>
      <c r="L102" s="100">
        <f>IF(E102="Yes",MAX(0,Assumptions!$B$8-G102+1),0)</f>
        <v>8</v>
      </c>
      <c r="M102" s="82">
        <f t="shared" si="8"/>
        <v>75600.000000000015</v>
      </c>
      <c r="N102" s="100">
        <f>MIN(1,SUMIFS(Roster!$N$5:$N$1504,Roster!$B$5:$B$1504,$A102))</f>
        <v>1</v>
      </c>
      <c r="O102" s="100">
        <f>SUMIFS(Roster!$L$5:$L$1504,Roster!$B$5:$B$1504,$A102)</f>
        <v>8</v>
      </c>
      <c r="P102" s="83">
        <f>SUMIFS(Roster!$M$5:$M$1504,Roster!$B$5:$B$1504,$A102)*J102</f>
        <v>74520</v>
      </c>
      <c r="Q102" s="83">
        <f>SUMIFS(Roster!$O$5:$O$1504,Roster!$B$5:$B$1504,$A102)*J102</f>
        <v>111780.00000000001</v>
      </c>
      <c r="R102" s="82">
        <f t="shared" si="9"/>
        <v>111780.00000000001</v>
      </c>
      <c r="S102" s="82">
        <f t="shared" si="10"/>
        <v>0</v>
      </c>
      <c r="T102" s="82">
        <f t="shared" si="11"/>
        <v>1080.0000000000146</v>
      </c>
      <c r="U102" s="82">
        <f t="shared" si="12"/>
        <v>0</v>
      </c>
      <c r="V102" s="83">
        <f>IF(COUNTIFS(Roster!$B$5:$B$1504,$A102,Roster!$G$5:$G$1504,"&gt;0")=0,0,SUMIFS(Roster!$H$5:$H$1504,Roster!$B$5:$B$1504,$A102,Roster!$G$5:$G$1504,_xlfn.MAXIFS(Roster!$G$5:$G$1504,Roster!$B$5:$B$1504,$A102)))</f>
        <v>0</v>
      </c>
      <c r="W102" s="101" t="str">
        <f t="shared" si="13"/>
        <v>Filled</v>
      </c>
    </row>
    <row r="103" spans="1:23" x14ac:dyDescent="0.25">
      <c r="A103" s="76" t="s">
        <v>501</v>
      </c>
      <c r="B103" s="76" t="s">
        <v>353</v>
      </c>
      <c r="C103" s="76" t="s">
        <v>407</v>
      </c>
      <c r="D103" s="97">
        <v>1</v>
      </c>
      <c r="E103" s="98" t="s">
        <v>325</v>
      </c>
      <c r="F103" s="78">
        <v>65000</v>
      </c>
      <c r="G103" s="97">
        <v>1</v>
      </c>
      <c r="H103" s="98" t="s">
        <v>399</v>
      </c>
      <c r="J103" s="99">
        <f>1+Assumptions!$B$11+INDEX(Assumptions!$B$12:$B$15,D103)*Assumptions!$B$16</f>
        <v>1.3</v>
      </c>
      <c r="K103" s="82">
        <f t="shared" si="7"/>
        <v>84500</v>
      </c>
      <c r="L103" s="100">
        <f>IF(E103="Yes",MAX(0,Assumptions!$B$8-G103+1),0)</f>
        <v>8</v>
      </c>
      <c r="M103" s="82">
        <f t="shared" si="8"/>
        <v>56333.333333333336</v>
      </c>
      <c r="N103" s="100">
        <f>MIN(1,SUMIFS(Roster!$N$5:$N$1504,Roster!$B$5:$B$1504,$A103))</f>
        <v>1</v>
      </c>
      <c r="O103" s="100">
        <f>SUMIFS(Roster!$L$5:$L$1504,Roster!$B$5:$B$1504,$A103)</f>
        <v>8</v>
      </c>
      <c r="P103" s="83">
        <f>SUMIFS(Roster!$M$5:$M$1504,Roster!$B$5:$B$1504,$A103)*J103</f>
        <v>56506.666666666664</v>
      </c>
      <c r="Q103" s="83">
        <f>SUMIFS(Roster!$O$5:$O$1504,Roster!$B$5:$B$1504,$A103)*J103</f>
        <v>84760</v>
      </c>
      <c r="R103" s="82">
        <f t="shared" si="9"/>
        <v>84760</v>
      </c>
      <c r="S103" s="82">
        <f t="shared" si="10"/>
        <v>0</v>
      </c>
      <c r="T103" s="82">
        <f t="shared" si="11"/>
        <v>-173.33333333332848</v>
      </c>
      <c r="U103" s="82">
        <f t="shared" si="12"/>
        <v>0</v>
      </c>
      <c r="V103" s="83">
        <f>IF(COUNTIFS(Roster!$B$5:$B$1504,$A103,Roster!$G$5:$G$1504,"&gt;0")=0,0,SUMIFS(Roster!$H$5:$H$1504,Roster!$B$5:$B$1504,$A103,Roster!$G$5:$G$1504,_xlfn.MAXIFS(Roster!$G$5:$G$1504,Roster!$B$5:$B$1504,$A103)))</f>
        <v>0</v>
      </c>
      <c r="W103" s="101" t="str">
        <f t="shared" si="13"/>
        <v>Filled</v>
      </c>
    </row>
    <row r="104" spans="1:23" x14ac:dyDescent="0.25">
      <c r="A104" s="76" t="s">
        <v>502</v>
      </c>
      <c r="B104" s="76" t="s">
        <v>353</v>
      </c>
      <c r="C104" s="76" t="s">
        <v>398</v>
      </c>
      <c r="D104" s="97">
        <v>3</v>
      </c>
      <c r="E104" s="98" t="s">
        <v>325</v>
      </c>
      <c r="F104" s="78">
        <v>119000</v>
      </c>
      <c r="G104" s="97">
        <v>1</v>
      </c>
      <c r="H104" s="98" t="s">
        <v>399</v>
      </c>
      <c r="J104" s="99">
        <f>1+Assumptions!$B$11+INDEX(Assumptions!$B$12:$B$15,D104)*Assumptions!$B$16</f>
        <v>1.4</v>
      </c>
      <c r="K104" s="82">
        <f t="shared" si="7"/>
        <v>166600</v>
      </c>
      <c r="L104" s="100">
        <f>IF(E104="Yes",MAX(0,Assumptions!$B$8-G104+1),0)</f>
        <v>8</v>
      </c>
      <c r="M104" s="82">
        <f t="shared" si="8"/>
        <v>111066.66666666667</v>
      </c>
      <c r="N104" s="100">
        <f>MIN(1,SUMIFS(Roster!$N$5:$N$1504,Roster!$B$5:$B$1504,$A104))</f>
        <v>1</v>
      </c>
      <c r="O104" s="100">
        <f>SUMIFS(Roster!$L$5:$L$1504,Roster!$B$5:$B$1504,$A104)</f>
        <v>8</v>
      </c>
      <c r="P104" s="83">
        <f>SUMIFS(Roster!$M$5:$M$1504,Roster!$B$5:$B$1504,$A104)*J104</f>
        <v>111533.33333333333</v>
      </c>
      <c r="Q104" s="83">
        <f>SUMIFS(Roster!$O$5:$O$1504,Roster!$B$5:$B$1504,$A104)*J104</f>
        <v>167300</v>
      </c>
      <c r="R104" s="82">
        <f t="shared" si="9"/>
        <v>167300</v>
      </c>
      <c r="S104" s="82">
        <f t="shared" si="10"/>
        <v>0</v>
      </c>
      <c r="T104" s="82">
        <f t="shared" si="11"/>
        <v>-466.66666666665697</v>
      </c>
      <c r="U104" s="82">
        <f t="shared" si="12"/>
        <v>0</v>
      </c>
      <c r="V104" s="83">
        <f>IF(COUNTIFS(Roster!$B$5:$B$1504,$A104,Roster!$G$5:$G$1504,"&gt;0")=0,0,SUMIFS(Roster!$H$5:$H$1504,Roster!$B$5:$B$1504,$A104,Roster!$G$5:$G$1504,_xlfn.MAXIFS(Roster!$G$5:$G$1504,Roster!$B$5:$B$1504,$A104)))</f>
        <v>0</v>
      </c>
      <c r="W104" s="101" t="str">
        <f t="shared" si="13"/>
        <v>Filled</v>
      </c>
    </row>
    <row r="105" spans="1:23" x14ac:dyDescent="0.25">
      <c r="A105" s="76" t="s">
        <v>503</v>
      </c>
      <c r="B105" s="76" t="s">
        <v>353</v>
      </c>
      <c r="C105" s="76" t="s">
        <v>407</v>
      </c>
      <c r="D105" s="97">
        <v>1</v>
      </c>
      <c r="E105" s="98" t="s">
        <v>325</v>
      </c>
      <c r="F105" s="78">
        <v>55000</v>
      </c>
      <c r="G105" s="97">
        <v>1</v>
      </c>
      <c r="H105" s="98" t="s">
        <v>399</v>
      </c>
      <c r="J105" s="99">
        <f>1+Assumptions!$B$11+INDEX(Assumptions!$B$12:$B$15,D105)*Assumptions!$B$16</f>
        <v>1.3</v>
      </c>
      <c r="K105" s="82">
        <f t="shared" si="7"/>
        <v>71500</v>
      </c>
      <c r="L105" s="100">
        <f>IF(E105="Yes",MAX(0,Assumptions!$B$8-G105+1),0)</f>
        <v>8</v>
      </c>
      <c r="M105" s="82">
        <f t="shared" si="8"/>
        <v>47666.666666666664</v>
      </c>
      <c r="N105" s="100">
        <f>MIN(1,SUMIFS(Roster!$N$5:$N$1504,Roster!$B$5:$B$1504,$A105))</f>
        <v>1</v>
      </c>
      <c r="O105" s="100">
        <f>SUMIFS(Roster!$L$5:$L$1504,Roster!$B$5:$B$1504,$A105)</f>
        <v>8</v>
      </c>
      <c r="P105" s="83">
        <f>SUMIFS(Roster!$M$5:$M$1504,Roster!$B$5:$B$1504,$A105)*J105</f>
        <v>47840</v>
      </c>
      <c r="Q105" s="83">
        <f>SUMIFS(Roster!$O$5:$O$1504,Roster!$B$5:$B$1504,$A105)*J105</f>
        <v>71760</v>
      </c>
      <c r="R105" s="82">
        <f t="shared" si="9"/>
        <v>71760</v>
      </c>
      <c r="S105" s="82">
        <f t="shared" si="10"/>
        <v>0</v>
      </c>
      <c r="T105" s="82">
        <f t="shared" si="11"/>
        <v>-173.33333333333576</v>
      </c>
      <c r="U105" s="82">
        <f t="shared" si="12"/>
        <v>0</v>
      </c>
      <c r="V105" s="83">
        <f>IF(COUNTIFS(Roster!$B$5:$B$1504,$A105,Roster!$G$5:$G$1504,"&gt;0")=0,0,SUMIFS(Roster!$H$5:$H$1504,Roster!$B$5:$B$1504,$A105,Roster!$G$5:$G$1504,_xlfn.MAXIFS(Roster!$G$5:$G$1504,Roster!$B$5:$B$1504,$A105)))</f>
        <v>0</v>
      </c>
      <c r="W105" s="101" t="str">
        <f t="shared" si="13"/>
        <v>Filled</v>
      </c>
    </row>
    <row r="106" spans="1:23" x14ac:dyDescent="0.25">
      <c r="A106" s="76" t="s">
        <v>504</v>
      </c>
      <c r="B106" s="76" t="s">
        <v>353</v>
      </c>
      <c r="C106" s="76" t="s">
        <v>398</v>
      </c>
      <c r="D106" s="97">
        <v>3</v>
      </c>
      <c r="E106" s="98" t="s">
        <v>325</v>
      </c>
      <c r="F106" s="78">
        <v>126500</v>
      </c>
      <c r="G106" s="97">
        <v>1</v>
      </c>
      <c r="H106" s="98" t="s">
        <v>399</v>
      </c>
      <c r="J106" s="99">
        <f>1+Assumptions!$B$11+INDEX(Assumptions!$B$12:$B$15,D106)*Assumptions!$B$16</f>
        <v>1.4</v>
      </c>
      <c r="K106" s="82">
        <f t="shared" si="7"/>
        <v>177100</v>
      </c>
      <c r="L106" s="100">
        <f>IF(E106="Yes",MAX(0,Assumptions!$B$8-G106+1),0)</f>
        <v>8</v>
      </c>
      <c r="M106" s="82">
        <f t="shared" si="8"/>
        <v>118066.66666666667</v>
      </c>
      <c r="N106" s="100">
        <f>MIN(1,SUMIFS(Roster!$N$5:$N$1504,Roster!$B$5:$B$1504,$A106))</f>
        <v>1</v>
      </c>
      <c r="O106" s="100">
        <f>SUMIFS(Roster!$L$5:$L$1504,Roster!$B$5:$B$1504,$A106)</f>
        <v>8</v>
      </c>
      <c r="P106" s="83">
        <f>SUMIFS(Roster!$M$5:$M$1504,Roster!$B$5:$B$1504,$A106)*J106</f>
        <v>117599.99999999999</v>
      </c>
      <c r="Q106" s="83">
        <f>SUMIFS(Roster!$O$5:$O$1504,Roster!$B$5:$B$1504,$A106)*J106</f>
        <v>176400</v>
      </c>
      <c r="R106" s="82">
        <f t="shared" si="9"/>
        <v>176400</v>
      </c>
      <c r="S106" s="82">
        <f t="shared" si="10"/>
        <v>0</v>
      </c>
      <c r="T106" s="82">
        <f t="shared" si="11"/>
        <v>466.66666666668607</v>
      </c>
      <c r="U106" s="82">
        <f t="shared" si="12"/>
        <v>0</v>
      </c>
      <c r="V106" s="83">
        <f>IF(COUNTIFS(Roster!$B$5:$B$1504,$A106,Roster!$G$5:$G$1504,"&gt;0")=0,0,SUMIFS(Roster!$H$5:$H$1504,Roster!$B$5:$B$1504,$A106,Roster!$G$5:$G$1504,_xlfn.MAXIFS(Roster!$G$5:$G$1504,Roster!$B$5:$B$1504,$A106)))</f>
        <v>0</v>
      </c>
      <c r="W106" s="101" t="str">
        <f t="shared" si="13"/>
        <v>Filled</v>
      </c>
    </row>
    <row r="107" spans="1:23" x14ac:dyDescent="0.25">
      <c r="A107" s="76" t="s">
        <v>505</v>
      </c>
      <c r="B107" s="76" t="s">
        <v>353</v>
      </c>
      <c r="C107" s="76" t="s">
        <v>407</v>
      </c>
      <c r="D107" s="97">
        <v>1</v>
      </c>
      <c r="E107" s="98" t="s">
        <v>325</v>
      </c>
      <c r="F107" s="78">
        <v>62500</v>
      </c>
      <c r="G107" s="97">
        <v>1</v>
      </c>
      <c r="H107" s="98" t="s">
        <v>399</v>
      </c>
      <c r="J107" s="99">
        <f>1+Assumptions!$B$11+INDEX(Assumptions!$B$12:$B$15,D107)*Assumptions!$B$16</f>
        <v>1.3</v>
      </c>
      <c r="K107" s="82">
        <f t="shared" si="7"/>
        <v>81250</v>
      </c>
      <c r="L107" s="100">
        <f>IF(E107="Yes",MAX(0,Assumptions!$B$8-G107+1),0)</f>
        <v>8</v>
      </c>
      <c r="M107" s="82">
        <f t="shared" si="8"/>
        <v>54166.666666666664</v>
      </c>
      <c r="N107" s="100">
        <f>MIN(1,SUMIFS(Roster!$N$5:$N$1504,Roster!$B$5:$B$1504,$A107))</f>
        <v>1</v>
      </c>
      <c r="O107" s="100">
        <f>SUMIFS(Roster!$L$5:$L$1504,Roster!$B$5:$B$1504,$A107)</f>
        <v>8</v>
      </c>
      <c r="P107" s="83">
        <f>SUMIFS(Roster!$M$5:$M$1504,Roster!$B$5:$B$1504,$A107)*J107</f>
        <v>54686.666666666664</v>
      </c>
      <c r="Q107" s="83">
        <f>SUMIFS(Roster!$O$5:$O$1504,Roster!$B$5:$B$1504,$A107)*J107</f>
        <v>82030</v>
      </c>
      <c r="R107" s="82">
        <f t="shared" si="9"/>
        <v>82030</v>
      </c>
      <c r="S107" s="82">
        <f t="shared" si="10"/>
        <v>0</v>
      </c>
      <c r="T107" s="82">
        <f t="shared" si="11"/>
        <v>-520</v>
      </c>
      <c r="U107" s="82">
        <f t="shared" si="12"/>
        <v>0</v>
      </c>
      <c r="V107" s="83">
        <f>IF(COUNTIFS(Roster!$B$5:$B$1504,$A107,Roster!$G$5:$G$1504,"&gt;0")=0,0,SUMIFS(Roster!$H$5:$H$1504,Roster!$B$5:$B$1504,$A107,Roster!$G$5:$G$1504,_xlfn.MAXIFS(Roster!$G$5:$G$1504,Roster!$B$5:$B$1504,$A107)))</f>
        <v>0</v>
      </c>
      <c r="W107" s="101" t="str">
        <f t="shared" si="13"/>
        <v>Filled</v>
      </c>
    </row>
    <row r="108" spans="1:23" x14ac:dyDescent="0.25">
      <c r="A108" s="76" t="s">
        <v>506</v>
      </c>
      <c r="B108" s="76" t="s">
        <v>353</v>
      </c>
      <c r="C108" s="76" t="s">
        <v>398</v>
      </c>
      <c r="D108" s="97">
        <v>3</v>
      </c>
      <c r="E108" s="98" t="s">
        <v>325</v>
      </c>
      <c r="F108" s="78">
        <v>124000</v>
      </c>
      <c r="G108" s="97">
        <v>1</v>
      </c>
      <c r="H108" s="98" t="s">
        <v>399</v>
      </c>
      <c r="J108" s="99">
        <f>1+Assumptions!$B$11+INDEX(Assumptions!$B$12:$B$15,D108)*Assumptions!$B$16</f>
        <v>1.4</v>
      </c>
      <c r="K108" s="82">
        <f t="shared" si="7"/>
        <v>173600</v>
      </c>
      <c r="L108" s="100">
        <f>IF(E108="Yes",MAX(0,Assumptions!$B$8-G108+1),0)</f>
        <v>8</v>
      </c>
      <c r="M108" s="82">
        <f t="shared" si="8"/>
        <v>115733.33333333333</v>
      </c>
      <c r="N108" s="100">
        <f>MIN(1,SUMIFS(Roster!$N$5:$N$1504,Roster!$B$5:$B$1504,$A108))</f>
        <v>1</v>
      </c>
      <c r="O108" s="100">
        <f>SUMIFS(Roster!$L$5:$L$1504,Roster!$B$5:$B$1504,$A108)</f>
        <v>8</v>
      </c>
      <c r="P108" s="83">
        <f>SUMIFS(Roster!$M$5:$M$1504,Roster!$B$5:$B$1504,$A108)*J108</f>
        <v>116013.33333333333</v>
      </c>
      <c r="Q108" s="83">
        <f>SUMIFS(Roster!$O$5:$O$1504,Roster!$B$5:$B$1504,$A108)*J108</f>
        <v>174020</v>
      </c>
      <c r="R108" s="82">
        <f t="shared" si="9"/>
        <v>174020</v>
      </c>
      <c r="S108" s="82">
        <f t="shared" si="10"/>
        <v>0</v>
      </c>
      <c r="T108" s="82">
        <f t="shared" si="11"/>
        <v>-280</v>
      </c>
      <c r="U108" s="82">
        <f t="shared" si="12"/>
        <v>0</v>
      </c>
      <c r="V108" s="83">
        <f>IF(COUNTIFS(Roster!$B$5:$B$1504,$A108,Roster!$G$5:$G$1504,"&gt;0")=0,0,SUMIFS(Roster!$H$5:$H$1504,Roster!$B$5:$B$1504,$A108,Roster!$G$5:$G$1504,_xlfn.MAXIFS(Roster!$G$5:$G$1504,Roster!$B$5:$B$1504,$A108)))</f>
        <v>0</v>
      </c>
      <c r="W108" s="101" t="str">
        <f t="shared" si="13"/>
        <v>Filled</v>
      </c>
    </row>
    <row r="109" spans="1:23" x14ac:dyDescent="0.25">
      <c r="A109" s="76" t="s">
        <v>507</v>
      </c>
      <c r="B109" s="76" t="s">
        <v>353</v>
      </c>
      <c r="C109" s="76" t="s">
        <v>407</v>
      </c>
      <c r="D109" s="97">
        <v>1</v>
      </c>
      <c r="E109" s="98" t="s">
        <v>325</v>
      </c>
      <c r="F109" s="78">
        <v>66000</v>
      </c>
      <c r="G109" s="97">
        <v>1</v>
      </c>
      <c r="H109" s="98" t="s">
        <v>399</v>
      </c>
      <c r="J109" s="99">
        <f>1+Assumptions!$B$11+INDEX(Assumptions!$B$12:$B$15,D109)*Assumptions!$B$16</f>
        <v>1.3</v>
      </c>
      <c r="K109" s="82">
        <f t="shared" si="7"/>
        <v>85800</v>
      </c>
      <c r="L109" s="100">
        <f>IF(E109="Yes",MAX(0,Assumptions!$B$8-G109+1),0)</f>
        <v>8</v>
      </c>
      <c r="M109" s="82">
        <f t="shared" si="8"/>
        <v>57200</v>
      </c>
      <c r="N109" s="100">
        <f>MIN(1,SUMIFS(Roster!$N$5:$N$1504,Roster!$B$5:$B$1504,$A109))</f>
        <v>1</v>
      </c>
      <c r="O109" s="100">
        <f>SUMIFS(Roster!$L$5:$L$1504,Roster!$B$5:$B$1504,$A109)</f>
        <v>8</v>
      </c>
      <c r="P109" s="83">
        <f>SUMIFS(Roster!$M$5:$M$1504,Roster!$B$5:$B$1504,$A109)*J109</f>
        <v>57026.666666666664</v>
      </c>
      <c r="Q109" s="83">
        <f>SUMIFS(Roster!$O$5:$O$1504,Roster!$B$5:$B$1504,$A109)*J109</f>
        <v>85540</v>
      </c>
      <c r="R109" s="82">
        <f t="shared" si="9"/>
        <v>85540</v>
      </c>
      <c r="S109" s="82">
        <f t="shared" si="10"/>
        <v>0</v>
      </c>
      <c r="T109" s="82">
        <f t="shared" si="11"/>
        <v>173.33333333333576</v>
      </c>
      <c r="U109" s="82">
        <f t="shared" si="12"/>
        <v>0</v>
      </c>
      <c r="V109" s="83">
        <f>IF(COUNTIFS(Roster!$B$5:$B$1504,$A109,Roster!$G$5:$G$1504,"&gt;0")=0,0,SUMIFS(Roster!$H$5:$H$1504,Roster!$B$5:$B$1504,$A109,Roster!$G$5:$G$1504,_xlfn.MAXIFS(Roster!$G$5:$G$1504,Roster!$B$5:$B$1504,$A109)))</f>
        <v>0</v>
      </c>
      <c r="W109" s="101" t="str">
        <f t="shared" si="13"/>
        <v>Filled</v>
      </c>
    </row>
    <row r="110" spans="1:23" x14ac:dyDescent="0.25">
      <c r="A110" s="76" t="s">
        <v>508</v>
      </c>
      <c r="B110" s="76" t="s">
        <v>353</v>
      </c>
      <c r="C110" s="76" t="s">
        <v>405</v>
      </c>
      <c r="D110" s="97">
        <v>1</v>
      </c>
      <c r="E110" s="98" t="s">
        <v>325</v>
      </c>
      <c r="F110" s="78">
        <v>63000</v>
      </c>
      <c r="G110" s="97">
        <v>1</v>
      </c>
      <c r="H110" s="98" t="s">
        <v>399</v>
      </c>
      <c r="J110" s="99">
        <f>1+Assumptions!$B$11+INDEX(Assumptions!$B$12:$B$15,D110)*Assumptions!$B$16</f>
        <v>1.3</v>
      </c>
      <c r="K110" s="82">
        <f t="shared" si="7"/>
        <v>81900</v>
      </c>
      <c r="L110" s="100">
        <f>IF(E110="Yes",MAX(0,Assumptions!$B$8-G110+1),0)</f>
        <v>8</v>
      </c>
      <c r="M110" s="82">
        <f t="shared" si="8"/>
        <v>54600</v>
      </c>
      <c r="N110" s="100">
        <f>MIN(1,SUMIFS(Roster!$N$5:$N$1504,Roster!$B$5:$B$1504,$A110))</f>
        <v>1</v>
      </c>
      <c r="O110" s="100">
        <f>SUMIFS(Roster!$L$5:$L$1504,Roster!$B$5:$B$1504,$A110)</f>
        <v>8</v>
      </c>
      <c r="P110" s="83">
        <f>SUMIFS(Roster!$M$5:$M$1504,Roster!$B$5:$B$1504,$A110)*J110</f>
        <v>55120</v>
      </c>
      <c r="Q110" s="83">
        <f>SUMIFS(Roster!$O$5:$O$1504,Roster!$B$5:$B$1504,$A110)*J110</f>
        <v>82680</v>
      </c>
      <c r="R110" s="82">
        <f t="shared" si="9"/>
        <v>82680</v>
      </c>
      <c r="S110" s="82">
        <f t="shared" si="10"/>
        <v>0</v>
      </c>
      <c r="T110" s="82">
        <f t="shared" si="11"/>
        <v>-520</v>
      </c>
      <c r="U110" s="82">
        <f t="shared" si="12"/>
        <v>0</v>
      </c>
      <c r="V110" s="83">
        <f>IF(COUNTIFS(Roster!$B$5:$B$1504,$A110,Roster!$G$5:$G$1504,"&gt;0")=0,0,SUMIFS(Roster!$H$5:$H$1504,Roster!$B$5:$B$1504,$A110,Roster!$G$5:$G$1504,_xlfn.MAXIFS(Roster!$G$5:$G$1504,Roster!$B$5:$B$1504,$A110)))</f>
        <v>0</v>
      </c>
      <c r="W110" s="101" t="str">
        <f t="shared" si="13"/>
        <v>Filled</v>
      </c>
    </row>
    <row r="111" spans="1:23" x14ac:dyDescent="0.25">
      <c r="A111" s="76" t="s">
        <v>509</v>
      </c>
      <c r="B111" s="76" t="s">
        <v>353</v>
      </c>
      <c r="C111" s="76" t="s">
        <v>446</v>
      </c>
      <c r="D111" s="97">
        <v>4</v>
      </c>
      <c r="E111" s="98" t="s">
        <v>325</v>
      </c>
      <c r="F111" s="78">
        <v>174500</v>
      </c>
      <c r="G111" s="97">
        <v>1</v>
      </c>
      <c r="H111" s="98" t="s">
        <v>399</v>
      </c>
      <c r="J111" s="99">
        <f>1+Assumptions!$B$11+INDEX(Assumptions!$B$12:$B$15,D111)*Assumptions!$B$16</f>
        <v>1.5</v>
      </c>
      <c r="K111" s="82">
        <f t="shared" si="7"/>
        <v>261750</v>
      </c>
      <c r="L111" s="100">
        <f>IF(E111="Yes",MAX(0,Assumptions!$B$8-G111+1),0)</f>
        <v>8</v>
      </c>
      <c r="M111" s="82">
        <f t="shared" si="8"/>
        <v>174500</v>
      </c>
      <c r="N111" s="100">
        <f>MIN(1,SUMIFS(Roster!$N$5:$N$1504,Roster!$B$5:$B$1504,$A111))</f>
        <v>1</v>
      </c>
      <c r="O111" s="100">
        <f>SUMIFS(Roster!$L$5:$L$1504,Roster!$B$5:$B$1504,$A111)</f>
        <v>8</v>
      </c>
      <c r="P111" s="83">
        <f>SUMIFS(Roster!$M$5:$M$1504,Roster!$B$5:$B$1504,$A111)*J111</f>
        <v>173600</v>
      </c>
      <c r="Q111" s="83">
        <f>SUMIFS(Roster!$O$5:$O$1504,Roster!$B$5:$B$1504,$A111)*J111</f>
        <v>260400</v>
      </c>
      <c r="R111" s="82">
        <f t="shared" si="9"/>
        <v>260400</v>
      </c>
      <c r="S111" s="82">
        <f t="shared" si="10"/>
        <v>0</v>
      </c>
      <c r="T111" s="82">
        <f t="shared" si="11"/>
        <v>900</v>
      </c>
      <c r="U111" s="82">
        <f t="shared" si="12"/>
        <v>0</v>
      </c>
      <c r="V111" s="83">
        <f>IF(COUNTIFS(Roster!$B$5:$B$1504,$A111,Roster!$G$5:$G$1504,"&gt;0")=0,0,SUMIFS(Roster!$H$5:$H$1504,Roster!$B$5:$B$1504,$A111,Roster!$G$5:$G$1504,_xlfn.MAXIFS(Roster!$G$5:$G$1504,Roster!$B$5:$B$1504,$A111)))</f>
        <v>0</v>
      </c>
      <c r="W111" s="101" t="str">
        <f t="shared" si="13"/>
        <v>Filled</v>
      </c>
    </row>
    <row r="112" spans="1:23" x14ac:dyDescent="0.25">
      <c r="A112" s="76" t="s">
        <v>510</v>
      </c>
      <c r="B112" s="76" t="s">
        <v>353</v>
      </c>
      <c r="C112" s="76" t="s">
        <v>401</v>
      </c>
      <c r="D112" s="97">
        <v>2</v>
      </c>
      <c r="E112" s="98" t="s">
        <v>325</v>
      </c>
      <c r="F112" s="78">
        <v>96000</v>
      </c>
      <c r="G112" s="97">
        <v>1</v>
      </c>
      <c r="H112" s="98" t="s">
        <v>399</v>
      </c>
      <c r="J112" s="99">
        <f>1+Assumptions!$B$11+INDEX(Assumptions!$B$12:$B$15,D112)*Assumptions!$B$16</f>
        <v>1.35</v>
      </c>
      <c r="K112" s="82">
        <f t="shared" si="7"/>
        <v>129600.00000000001</v>
      </c>
      <c r="L112" s="100">
        <f>IF(E112="Yes",MAX(0,Assumptions!$B$8-G112+1),0)</f>
        <v>8</v>
      </c>
      <c r="M112" s="82">
        <f t="shared" si="8"/>
        <v>86400.000000000015</v>
      </c>
      <c r="N112" s="100">
        <f>MIN(1,SUMIFS(Roster!$N$5:$N$1504,Roster!$B$5:$B$1504,$A112))</f>
        <v>1</v>
      </c>
      <c r="O112" s="100">
        <f>SUMIFS(Roster!$L$5:$L$1504,Roster!$B$5:$B$1504,$A112)</f>
        <v>8</v>
      </c>
      <c r="P112" s="83">
        <f>SUMIFS(Roster!$M$5:$M$1504,Roster!$B$5:$B$1504,$A112)*J112</f>
        <v>85590</v>
      </c>
      <c r="Q112" s="83">
        <f>SUMIFS(Roster!$O$5:$O$1504,Roster!$B$5:$B$1504,$A112)*J112</f>
        <v>128385.00000000001</v>
      </c>
      <c r="R112" s="82">
        <f t="shared" si="9"/>
        <v>128385.00000000001</v>
      </c>
      <c r="S112" s="82">
        <f t="shared" si="10"/>
        <v>0</v>
      </c>
      <c r="T112" s="82">
        <f t="shared" si="11"/>
        <v>810.00000000001455</v>
      </c>
      <c r="U112" s="82">
        <f t="shared" si="12"/>
        <v>0</v>
      </c>
      <c r="V112" s="83">
        <f>IF(COUNTIFS(Roster!$B$5:$B$1504,$A112,Roster!$G$5:$G$1504,"&gt;0")=0,0,SUMIFS(Roster!$H$5:$H$1504,Roster!$B$5:$B$1504,$A112,Roster!$G$5:$G$1504,_xlfn.MAXIFS(Roster!$G$5:$G$1504,Roster!$B$5:$B$1504,$A112)))</f>
        <v>0</v>
      </c>
      <c r="W112" s="101" t="str">
        <f t="shared" si="13"/>
        <v>Filled</v>
      </c>
    </row>
    <row r="113" spans="1:23" x14ac:dyDescent="0.25">
      <c r="A113" s="76" t="s">
        <v>511</v>
      </c>
      <c r="B113" s="76" t="s">
        <v>353</v>
      </c>
      <c r="C113" s="76" t="s">
        <v>405</v>
      </c>
      <c r="D113" s="97">
        <v>1</v>
      </c>
      <c r="E113" s="98" t="s">
        <v>325</v>
      </c>
      <c r="F113" s="78">
        <v>66500</v>
      </c>
      <c r="G113" s="97">
        <v>1</v>
      </c>
      <c r="H113" s="98" t="s">
        <v>399</v>
      </c>
      <c r="J113" s="99">
        <f>1+Assumptions!$B$11+INDEX(Assumptions!$B$12:$B$15,D113)*Assumptions!$B$16</f>
        <v>1.3</v>
      </c>
      <c r="K113" s="82">
        <f t="shared" si="7"/>
        <v>86450</v>
      </c>
      <c r="L113" s="100">
        <f>IF(E113="Yes",MAX(0,Assumptions!$B$8-G113+1),0)</f>
        <v>8</v>
      </c>
      <c r="M113" s="82">
        <f t="shared" si="8"/>
        <v>57633.333333333336</v>
      </c>
      <c r="N113" s="100">
        <f>MIN(1,SUMIFS(Roster!$N$5:$N$1504,Roster!$B$5:$B$1504,$A113))</f>
        <v>1</v>
      </c>
      <c r="O113" s="100">
        <f>SUMIFS(Roster!$L$5:$L$1504,Roster!$B$5:$B$1504,$A113)</f>
        <v>8</v>
      </c>
      <c r="P113" s="83">
        <f>SUMIFS(Roster!$M$5:$M$1504,Roster!$B$5:$B$1504,$A113)*J113</f>
        <v>57286.666666666664</v>
      </c>
      <c r="Q113" s="83">
        <f>SUMIFS(Roster!$O$5:$O$1504,Roster!$B$5:$B$1504,$A113)*J113</f>
        <v>85930</v>
      </c>
      <c r="R113" s="82">
        <f t="shared" si="9"/>
        <v>85930</v>
      </c>
      <c r="S113" s="82">
        <f t="shared" si="10"/>
        <v>0</v>
      </c>
      <c r="T113" s="82">
        <f t="shared" si="11"/>
        <v>346.66666666667152</v>
      </c>
      <c r="U113" s="82">
        <f t="shared" si="12"/>
        <v>0</v>
      </c>
      <c r="V113" s="83">
        <f>IF(COUNTIFS(Roster!$B$5:$B$1504,$A113,Roster!$G$5:$G$1504,"&gt;0")=0,0,SUMIFS(Roster!$H$5:$H$1504,Roster!$B$5:$B$1504,$A113,Roster!$G$5:$G$1504,_xlfn.MAXIFS(Roster!$G$5:$G$1504,Roster!$B$5:$B$1504,$A113)))</f>
        <v>0</v>
      </c>
      <c r="W113" s="101" t="str">
        <f t="shared" si="13"/>
        <v>Filled</v>
      </c>
    </row>
    <row r="114" spans="1:23" x14ac:dyDescent="0.25">
      <c r="A114" s="76" t="s">
        <v>512</v>
      </c>
      <c r="B114" s="76" t="s">
        <v>353</v>
      </c>
      <c r="C114" s="76" t="s">
        <v>405</v>
      </c>
      <c r="D114" s="97">
        <v>1</v>
      </c>
      <c r="E114" s="98" t="s">
        <v>325</v>
      </c>
      <c r="F114" s="78">
        <v>54000</v>
      </c>
      <c r="G114" s="97">
        <v>1</v>
      </c>
      <c r="H114" s="98" t="s">
        <v>399</v>
      </c>
      <c r="J114" s="99">
        <f>1+Assumptions!$B$11+INDEX(Assumptions!$B$12:$B$15,D114)*Assumptions!$B$16</f>
        <v>1.3</v>
      </c>
      <c r="K114" s="82">
        <f t="shared" si="7"/>
        <v>70200</v>
      </c>
      <c r="L114" s="100">
        <f>IF(E114="Yes",MAX(0,Assumptions!$B$8-G114+1),0)</f>
        <v>8</v>
      </c>
      <c r="M114" s="82">
        <f t="shared" si="8"/>
        <v>46800</v>
      </c>
      <c r="N114" s="100">
        <f>MIN(1,SUMIFS(Roster!$N$5:$N$1504,Roster!$B$5:$B$1504,$A114))</f>
        <v>1</v>
      </c>
      <c r="O114" s="100">
        <f>SUMIFS(Roster!$L$5:$L$1504,Roster!$B$5:$B$1504,$A114)</f>
        <v>8</v>
      </c>
      <c r="P114" s="83">
        <f>SUMIFS(Roster!$M$5:$M$1504,Roster!$B$5:$B$1504,$A114)*J114</f>
        <v>46713.333333333336</v>
      </c>
      <c r="Q114" s="83">
        <f>SUMIFS(Roster!$O$5:$O$1504,Roster!$B$5:$B$1504,$A114)*J114</f>
        <v>70070</v>
      </c>
      <c r="R114" s="82">
        <f t="shared" si="9"/>
        <v>70070</v>
      </c>
      <c r="S114" s="82">
        <f t="shared" si="10"/>
        <v>0</v>
      </c>
      <c r="T114" s="82">
        <f t="shared" si="11"/>
        <v>86.666666666664241</v>
      </c>
      <c r="U114" s="82">
        <f t="shared" si="12"/>
        <v>0</v>
      </c>
      <c r="V114" s="83">
        <f>IF(COUNTIFS(Roster!$B$5:$B$1504,$A114,Roster!$G$5:$G$1504,"&gt;0")=0,0,SUMIFS(Roster!$H$5:$H$1504,Roster!$B$5:$B$1504,$A114,Roster!$G$5:$G$1504,_xlfn.MAXIFS(Roster!$G$5:$G$1504,Roster!$B$5:$B$1504,$A114)))</f>
        <v>0</v>
      </c>
      <c r="W114" s="101" t="str">
        <f t="shared" si="13"/>
        <v>Filled</v>
      </c>
    </row>
    <row r="115" spans="1:23" x14ac:dyDescent="0.25">
      <c r="A115" s="76" t="s">
        <v>513</v>
      </c>
      <c r="B115" s="76" t="s">
        <v>353</v>
      </c>
      <c r="C115" s="76" t="s">
        <v>401</v>
      </c>
      <c r="D115" s="97">
        <v>2</v>
      </c>
      <c r="E115" s="98" t="s">
        <v>325</v>
      </c>
      <c r="F115" s="78">
        <v>88500</v>
      </c>
      <c r="G115" s="97">
        <v>2</v>
      </c>
      <c r="H115" s="98" t="s">
        <v>399</v>
      </c>
      <c r="J115" s="99">
        <f>1+Assumptions!$B$11+INDEX(Assumptions!$B$12:$B$15,D115)*Assumptions!$B$16</f>
        <v>1.35</v>
      </c>
      <c r="K115" s="82">
        <f t="shared" si="7"/>
        <v>119475.00000000001</v>
      </c>
      <c r="L115" s="100">
        <f>IF(E115="Yes",MAX(0,Assumptions!$B$8-G115+1),0)</f>
        <v>7</v>
      </c>
      <c r="M115" s="82">
        <f t="shared" si="8"/>
        <v>69693.750000000015</v>
      </c>
      <c r="N115" s="100">
        <f>MIN(1,SUMIFS(Roster!$N$5:$N$1504,Roster!$B$5:$B$1504,$A115))</f>
        <v>1</v>
      </c>
      <c r="O115" s="100">
        <f>SUMIFS(Roster!$L$5:$L$1504,Roster!$B$5:$B$1504,$A115)</f>
        <v>7</v>
      </c>
      <c r="P115" s="83">
        <f>SUMIFS(Roster!$M$5:$M$1504,Roster!$B$5:$B$1504,$A115)*J115</f>
        <v>73237.5</v>
      </c>
      <c r="Q115" s="83">
        <f>SUMIFS(Roster!$O$5:$O$1504,Roster!$B$5:$B$1504,$A115)*J115</f>
        <v>125550.00000000001</v>
      </c>
      <c r="R115" s="82">
        <f t="shared" si="9"/>
        <v>125550.00000000001</v>
      </c>
      <c r="S115" s="82">
        <f t="shared" si="10"/>
        <v>0</v>
      </c>
      <c r="T115" s="82">
        <f t="shared" si="11"/>
        <v>-3543.7499999999854</v>
      </c>
      <c r="U115" s="82">
        <f t="shared" si="12"/>
        <v>0</v>
      </c>
      <c r="V115" s="83">
        <f>IF(COUNTIFS(Roster!$B$5:$B$1504,$A115,Roster!$G$5:$G$1504,"&gt;0")=0,0,SUMIFS(Roster!$H$5:$H$1504,Roster!$B$5:$B$1504,$A115,Roster!$G$5:$G$1504,_xlfn.MAXIFS(Roster!$G$5:$G$1504,Roster!$B$5:$B$1504,$A115)))</f>
        <v>0</v>
      </c>
      <c r="W115" s="101" t="str">
        <f t="shared" si="13"/>
        <v>Filled</v>
      </c>
    </row>
    <row r="116" spans="1:23" x14ac:dyDescent="0.25">
      <c r="A116" s="76" t="s">
        <v>514</v>
      </c>
      <c r="B116" s="76" t="s">
        <v>353</v>
      </c>
      <c r="C116" s="76" t="s">
        <v>407</v>
      </c>
      <c r="D116" s="97">
        <v>1</v>
      </c>
      <c r="E116" s="98" t="s">
        <v>325</v>
      </c>
      <c r="F116" s="78">
        <v>61000</v>
      </c>
      <c r="G116" s="97">
        <v>4</v>
      </c>
      <c r="H116" s="98" t="s">
        <v>399</v>
      </c>
      <c r="J116" s="99">
        <f>1+Assumptions!$B$11+INDEX(Assumptions!$B$12:$B$15,D116)*Assumptions!$B$16</f>
        <v>1.3</v>
      </c>
      <c r="K116" s="82">
        <f t="shared" si="7"/>
        <v>79300</v>
      </c>
      <c r="L116" s="100">
        <f>IF(E116="Yes",MAX(0,Assumptions!$B$8-G116+1),0)</f>
        <v>5</v>
      </c>
      <c r="M116" s="82">
        <f t="shared" si="8"/>
        <v>33041.666666666664</v>
      </c>
      <c r="N116" s="100">
        <f>MIN(1,SUMIFS(Roster!$N$5:$N$1504,Roster!$B$5:$B$1504,$A116))</f>
        <v>1</v>
      </c>
      <c r="O116" s="100">
        <f>SUMIFS(Roster!$L$5:$L$1504,Roster!$B$5:$B$1504,$A116)</f>
        <v>2</v>
      </c>
      <c r="P116" s="83">
        <f>SUMIFS(Roster!$M$5:$M$1504,Roster!$B$5:$B$1504,$A116)*J116</f>
        <v>13000</v>
      </c>
      <c r="Q116" s="83">
        <f>SUMIFS(Roster!$O$5:$O$1504,Roster!$B$5:$B$1504,$A116)*J116</f>
        <v>78000</v>
      </c>
      <c r="R116" s="82">
        <f t="shared" si="9"/>
        <v>78000</v>
      </c>
      <c r="S116" s="82">
        <f t="shared" si="10"/>
        <v>19825</v>
      </c>
      <c r="T116" s="82">
        <f t="shared" si="11"/>
        <v>216.66666666666606</v>
      </c>
      <c r="U116" s="82">
        <f t="shared" si="12"/>
        <v>0</v>
      </c>
      <c r="V116" s="83">
        <f>IF(COUNTIFS(Roster!$B$5:$B$1504,$A116,Roster!$G$5:$G$1504,"&gt;0")=0,0,SUMIFS(Roster!$H$5:$H$1504,Roster!$B$5:$B$1504,$A116,Roster!$G$5:$G$1504,_xlfn.MAXIFS(Roster!$G$5:$G$1504,Roster!$B$5:$B$1504,$A116)))</f>
        <v>0</v>
      </c>
      <c r="W116" s="101" t="str">
        <f t="shared" si="13"/>
        <v>Filled</v>
      </c>
    </row>
    <row r="117" spans="1:23" x14ac:dyDescent="0.25">
      <c r="A117" s="76" t="s">
        <v>515</v>
      </c>
      <c r="B117" s="76" t="s">
        <v>353</v>
      </c>
      <c r="C117" s="76" t="s">
        <v>405</v>
      </c>
      <c r="D117" s="97">
        <v>1</v>
      </c>
      <c r="E117" s="98" t="s">
        <v>325</v>
      </c>
      <c r="F117" s="78">
        <v>52000</v>
      </c>
      <c r="G117" s="97">
        <v>6</v>
      </c>
      <c r="H117" s="98" t="s">
        <v>399</v>
      </c>
      <c r="J117" s="99">
        <f>1+Assumptions!$B$11+INDEX(Assumptions!$B$12:$B$15,D117)*Assumptions!$B$16</f>
        <v>1.3</v>
      </c>
      <c r="K117" s="82">
        <f t="shared" si="7"/>
        <v>67600</v>
      </c>
      <c r="L117" s="100">
        <f>IF(E117="Yes",MAX(0,Assumptions!$B$8-G117+1),0)</f>
        <v>3</v>
      </c>
      <c r="M117" s="82">
        <f t="shared" si="8"/>
        <v>16900</v>
      </c>
      <c r="N117" s="100">
        <f>MIN(1,SUMIFS(Roster!$N$5:$N$1504,Roster!$B$5:$B$1504,$A117))</f>
        <v>0</v>
      </c>
      <c r="O117" s="100">
        <f>SUMIFS(Roster!$L$5:$L$1504,Roster!$B$5:$B$1504,$A117)</f>
        <v>0</v>
      </c>
      <c r="P117" s="83">
        <f>SUMIFS(Roster!$M$5:$M$1504,Roster!$B$5:$B$1504,$A117)*J117</f>
        <v>0</v>
      </c>
      <c r="Q117" s="83">
        <f>SUMIFS(Roster!$O$5:$O$1504,Roster!$B$5:$B$1504,$A117)*J117</f>
        <v>0</v>
      </c>
      <c r="R117" s="82">
        <f t="shared" si="9"/>
        <v>67600</v>
      </c>
      <c r="S117" s="82">
        <f t="shared" si="10"/>
        <v>16900</v>
      </c>
      <c r="T117" s="82">
        <f t="shared" si="11"/>
        <v>0</v>
      </c>
      <c r="U117" s="82">
        <f t="shared" si="12"/>
        <v>0</v>
      </c>
      <c r="V117" s="83">
        <f>IF(COUNTIFS(Roster!$B$5:$B$1504,$A117,Roster!$G$5:$G$1504,"&gt;0")=0,0,SUMIFS(Roster!$H$5:$H$1504,Roster!$B$5:$B$1504,$A117,Roster!$G$5:$G$1504,_xlfn.MAXIFS(Roster!$G$5:$G$1504,Roster!$B$5:$B$1504,$A117)))</f>
        <v>0</v>
      </c>
      <c r="W117" s="101" t="str">
        <f t="shared" si="13"/>
        <v>Open: to fill</v>
      </c>
    </row>
    <row r="118" spans="1:23" x14ac:dyDescent="0.25">
      <c r="A118" s="76" t="s">
        <v>516</v>
      </c>
      <c r="B118" s="76" t="s">
        <v>353</v>
      </c>
      <c r="C118" s="76" t="s">
        <v>405</v>
      </c>
      <c r="D118" s="97">
        <v>1</v>
      </c>
      <c r="E118" s="98" t="s">
        <v>517</v>
      </c>
      <c r="F118" s="78">
        <v>0</v>
      </c>
      <c r="G118" s="102"/>
      <c r="H118" s="98" t="s">
        <v>399</v>
      </c>
      <c r="J118" s="99">
        <f>1+Assumptions!$B$11+INDEX(Assumptions!$B$12:$B$15,D118)*Assumptions!$B$16</f>
        <v>1.3</v>
      </c>
      <c r="K118" s="82">
        <f t="shared" si="7"/>
        <v>0</v>
      </c>
      <c r="L118" s="100">
        <f>IF(E118="Yes",MAX(0,Assumptions!$B$8-G118+1),0)</f>
        <v>0</v>
      </c>
      <c r="M118" s="82">
        <f t="shared" si="8"/>
        <v>0</v>
      </c>
      <c r="N118" s="100">
        <f>MIN(1,SUMIFS(Roster!$N$5:$N$1504,Roster!$B$5:$B$1504,$A118))</f>
        <v>1</v>
      </c>
      <c r="O118" s="100">
        <f>SUMIFS(Roster!$L$5:$L$1504,Roster!$B$5:$B$1504,$A118)</f>
        <v>4</v>
      </c>
      <c r="P118" s="83">
        <f>SUMIFS(Roster!$M$5:$M$1504,Roster!$B$5:$B$1504,$A118)*J118</f>
        <v>25566.666666666668</v>
      </c>
      <c r="Q118" s="83">
        <f>SUMIFS(Roster!$O$5:$O$1504,Roster!$B$5:$B$1504,$A118)*J118</f>
        <v>76700</v>
      </c>
      <c r="R118" s="82">
        <f t="shared" si="9"/>
        <v>76700</v>
      </c>
      <c r="S118" s="82">
        <f t="shared" si="10"/>
        <v>0</v>
      </c>
      <c r="T118" s="82">
        <f t="shared" si="11"/>
        <v>0</v>
      </c>
      <c r="U118" s="82">
        <f t="shared" si="12"/>
        <v>-25566.666666666668</v>
      </c>
      <c r="V118" s="83">
        <f>IF(COUNTIFS(Roster!$B$5:$B$1504,$A118,Roster!$G$5:$G$1504,"&gt;0")=0,0,SUMIFS(Roster!$H$5:$H$1504,Roster!$B$5:$B$1504,$A118,Roster!$G$5:$G$1504,_xlfn.MAXIFS(Roster!$G$5:$G$1504,Roster!$B$5:$B$1504,$A118)))</f>
        <v>0</v>
      </c>
      <c r="W118" s="101" t="str">
        <f t="shared" si="13"/>
        <v>Unbudgeted hire</v>
      </c>
    </row>
    <row r="119" spans="1:23" x14ac:dyDescent="0.25">
      <c r="A119" s="76" t="s">
        <v>518</v>
      </c>
      <c r="B119" s="76" t="s">
        <v>353</v>
      </c>
      <c r="C119" s="76" t="s">
        <v>407</v>
      </c>
      <c r="D119" s="97">
        <v>1</v>
      </c>
      <c r="E119" s="98" t="s">
        <v>517</v>
      </c>
      <c r="F119" s="78">
        <v>0</v>
      </c>
      <c r="G119" s="102"/>
      <c r="H119" s="98" t="s">
        <v>399</v>
      </c>
      <c r="J119" s="99">
        <f>1+Assumptions!$B$11+INDEX(Assumptions!$B$12:$B$15,D119)*Assumptions!$B$16</f>
        <v>1.3</v>
      </c>
      <c r="K119" s="82">
        <f t="shared" si="7"/>
        <v>0</v>
      </c>
      <c r="L119" s="100">
        <f>IF(E119="Yes",MAX(0,Assumptions!$B$8-G119+1),0)</f>
        <v>0</v>
      </c>
      <c r="M119" s="82">
        <f t="shared" si="8"/>
        <v>0</v>
      </c>
      <c r="N119" s="100">
        <f>MIN(1,SUMIFS(Roster!$N$5:$N$1504,Roster!$B$5:$B$1504,$A119))</f>
        <v>1</v>
      </c>
      <c r="O119" s="100">
        <f>SUMIFS(Roster!$L$5:$L$1504,Roster!$B$5:$B$1504,$A119)</f>
        <v>2</v>
      </c>
      <c r="P119" s="83">
        <f>SUMIFS(Roster!$M$5:$M$1504,Roster!$B$5:$B$1504,$A119)*J119</f>
        <v>13758.333333333334</v>
      </c>
      <c r="Q119" s="83">
        <f>SUMIFS(Roster!$O$5:$O$1504,Roster!$B$5:$B$1504,$A119)*J119</f>
        <v>82550</v>
      </c>
      <c r="R119" s="82">
        <f t="shared" si="9"/>
        <v>82550</v>
      </c>
      <c r="S119" s="82">
        <f t="shared" si="10"/>
        <v>0</v>
      </c>
      <c r="T119" s="82">
        <f t="shared" si="11"/>
        <v>0</v>
      </c>
      <c r="U119" s="82">
        <f t="shared" si="12"/>
        <v>-13758.333333333334</v>
      </c>
      <c r="V119" s="83">
        <f>IF(COUNTIFS(Roster!$B$5:$B$1504,$A119,Roster!$G$5:$G$1504,"&gt;0")=0,0,SUMIFS(Roster!$H$5:$H$1504,Roster!$B$5:$B$1504,$A119,Roster!$G$5:$G$1504,_xlfn.MAXIFS(Roster!$G$5:$G$1504,Roster!$B$5:$B$1504,$A119)))</f>
        <v>0</v>
      </c>
      <c r="W119" s="101" t="str">
        <f t="shared" si="13"/>
        <v>Unbudgeted hire</v>
      </c>
    </row>
    <row r="120" spans="1:23" x14ac:dyDescent="0.25">
      <c r="A120" s="76" t="s">
        <v>519</v>
      </c>
      <c r="B120" s="76" t="s">
        <v>362</v>
      </c>
      <c r="C120" s="76" t="s">
        <v>520</v>
      </c>
      <c r="D120" s="97">
        <v>2</v>
      </c>
      <c r="E120" s="98" t="s">
        <v>325</v>
      </c>
      <c r="F120" s="78">
        <v>80500</v>
      </c>
      <c r="G120" s="97">
        <v>1</v>
      </c>
      <c r="H120" s="98" t="s">
        <v>399</v>
      </c>
      <c r="J120" s="99">
        <f>1+Assumptions!$B$11+INDEX(Assumptions!$B$12:$B$15,D120)*Assumptions!$B$16</f>
        <v>1.35</v>
      </c>
      <c r="K120" s="82">
        <f t="shared" si="7"/>
        <v>108675</v>
      </c>
      <c r="L120" s="100">
        <f>IF(E120="Yes",MAX(0,Assumptions!$B$8-G120+1),0)</f>
        <v>8</v>
      </c>
      <c r="M120" s="82">
        <f t="shared" si="8"/>
        <v>72450</v>
      </c>
      <c r="N120" s="100">
        <f>MIN(1,SUMIFS(Roster!$N$5:$N$1504,Roster!$B$5:$B$1504,$A120))</f>
        <v>1</v>
      </c>
      <c r="O120" s="100">
        <f>SUMIFS(Roster!$L$5:$L$1504,Roster!$B$5:$B$1504,$A120)</f>
        <v>8</v>
      </c>
      <c r="P120" s="83">
        <f>SUMIFS(Roster!$M$5:$M$1504,Roster!$B$5:$B$1504,$A120)*J120</f>
        <v>71550</v>
      </c>
      <c r="Q120" s="83">
        <f>SUMIFS(Roster!$O$5:$O$1504,Roster!$B$5:$B$1504,$A120)*J120</f>
        <v>107325</v>
      </c>
      <c r="R120" s="82">
        <f t="shared" si="9"/>
        <v>107325</v>
      </c>
      <c r="S120" s="82">
        <f t="shared" si="10"/>
        <v>0</v>
      </c>
      <c r="T120" s="82">
        <f t="shared" si="11"/>
        <v>900</v>
      </c>
      <c r="U120" s="82">
        <f t="shared" si="12"/>
        <v>0</v>
      </c>
      <c r="V120" s="83">
        <f>IF(COUNTIFS(Roster!$B$5:$B$1504,$A120,Roster!$G$5:$G$1504,"&gt;0")=0,0,SUMIFS(Roster!$H$5:$H$1504,Roster!$B$5:$B$1504,$A120,Roster!$G$5:$G$1504,_xlfn.MAXIFS(Roster!$G$5:$G$1504,Roster!$B$5:$B$1504,$A120)))</f>
        <v>0</v>
      </c>
      <c r="W120" s="101" t="str">
        <f t="shared" si="13"/>
        <v>Filled</v>
      </c>
    </row>
    <row r="121" spans="1:23" x14ac:dyDescent="0.25">
      <c r="A121" s="76" t="s">
        <v>521</v>
      </c>
      <c r="B121" s="76" t="s">
        <v>362</v>
      </c>
      <c r="C121" s="76" t="s">
        <v>522</v>
      </c>
      <c r="D121" s="97">
        <v>1</v>
      </c>
      <c r="E121" s="98" t="s">
        <v>325</v>
      </c>
      <c r="F121" s="78">
        <v>59000</v>
      </c>
      <c r="G121" s="97">
        <v>1</v>
      </c>
      <c r="H121" s="98" t="s">
        <v>399</v>
      </c>
      <c r="J121" s="99">
        <f>1+Assumptions!$B$11+INDEX(Assumptions!$B$12:$B$15,D121)*Assumptions!$B$16</f>
        <v>1.3</v>
      </c>
      <c r="K121" s="82">
        <f t="shared" si="7"/>
        <v>76700</v>
      </c>
      <c r="L121" s="100">
        <f>IF(E121="Yes",MAX(0,Assumptions!$B$8-G121+1),0)</f>
        <v>8</v>
      </c>
      <c r="M121" s="82">
        <f t="shared" si="8"/>
        <v>51133.333333333336</v>
      </c>
      <c r="N121" s="100">
        <f>MIN(1,SUMIFS(Roster!$N$5:$N$1504,Roster!$B$5:$B$1504,$A121))</f>
        <v>1</v>
      </c>
      <c r="O121" s="100">
        <f>SUMIFS(Roster!$L$5:$L$1504,Roster!$B$5:$B$1504,$A121)</f>
        <v>8</v>
      </c>
      <c r="P121" s="83">
        <f>SUMIFS(Roster!$M$5:$M$1504,Roster!$B$5:$B$1504,$A121)*J121</f>
        <v>51740</v>
      </c>
      <c r="Q121" s="83">
        <f>SUMIFS(Roster!$O$5:$O$1504,Roster!$B$5:$B$1504,$A121)*J121</f>
        <v>77610</v>
      </c>
      <c r="R121" s="82">
        <f t="shared" si="9"/>
        <v>77610</v>
      </c>
      <c r="S121" s="82">
        <f t="shared" si="10"/>
        <v>0</v>
      </c>
      <c r="T121" s="82">
        <f t="shared" si="11"/>
        <v>-606.66666666666424</v>
      </c>
      <c r="U121" s="82">
        <f t="shared" si="12"/>
        <v>0</v>
      </c>
      <c r="V121" s="83">
        <f>IF(COUNTIFS(Roster!$B$5:$B$1504,$A121,Roster!$G$5:$G$1504,"&gt;0")=0,0,SUMIFS(Roster!$H$5:$H$1504,Roster!$B$5:$B$1504,$A121,Roster!$G$5:$G$1504,_xlfn.MAXIFS(Roster!$G$5:$G$1504,Roster!$B$5:$B$1504,$A121)))</f>
        <v>0</v>
      </c>
      <c r="W121" s="101" t="str">
        <f t="shared" si="13"/>
        <v>Filled</v>
      </c>
    </row>
    <row r="122" spans="1:23" x14ac:dyDescent="0.25">
      <c r="A122" s="76" t="s">
        <v>523</v>
      </c>
      <c r="B122" s="76" t="s">
        <v>362</v>
      </c>
      <c r="C122" s="76" t="s">
        <v>522</v>
      </c>
      <c r="D122" s="97">
        <v>1</v>
      </c>
      <c r="E122" s="98" t="s">
        <v>325</v>
      </c>
      <c r="F122" s="78">
        <v>60500</v>
      </c>
      <c r="G122" s="97">
        <v>1</v>
      </c>
      <c r="H122" s="98" t="s">
        <v>399</v>
      </c>
      <c r="J122" s="99">
        <f>1+Assumptions!$B$11+INDEX(Assumptions!$B$12:$B$15,D122)*Assumptions!$B$16</f>
        <v>1.3</v>
      </c>
      <c r="K122" s="82">
        <f t="shared" si="7"/>
        <v>78650</v>
      </c>
      <c r="L122" s="100">
        <f>IF(E122="Yes",MAX(0,Assumptions!$B$8-G122+1),0)</f>
        <v>8</v>
      </c>
      <c r="M122" s="82">
        <f t="shared" si="8"/>
        <v>52433.333333333336</v>
      </c>
      <c r="N122" s="100">
        <f>MIN(1,SUMIFS(Roster!$N$5:$N$1504,Roster!$B$5:$B$1504,$A122))</f>
        <v>1</v>
      </c>
      <c r="O122" s="100">
        <f>SUMIFS(Roster!$L$5:$L$1504,Roster!$B$5:$B$1504,$A122)</f>
        <v>8</v>
      </c>
      <c r="P122" s="83">
        <f>SUMIFS(Roster!$M$5:$M$1504,Roster!$B$5:$B$1504,$A122)*J122</f>
        <v>52086.666666666664</v>
      </c>
      <c r="Q122" s="83">
        <f>SUMIFS(Roster!$O$5:$O$1504,Roster!$B$5:$B$1504,$A122)*J122</f>
        <v>78130</v>
      </c>
      <c r="R122" s="82">
        <f t="shared" si="9"/>
        <v>78130</v>
      </c>
      <c r="S122" s="82">
        <f t="shared" si="10"/>
        <v>0</v>
      </c>
      <c r="T122" s="82">
        <f t="shared" si="11"/>
        <v>346.66666666667152</v>
      </c>
      <c r="U122" s="82">
        <f t="shared" si="12"/>
        <v>0</v>
      </c>
      <c r="V122" s="83">
        <f>IF(COUNTIFS(Roster!$B$5:$B$1504,$A122,Roster!$G$5:$G$1504,"&gt;0")=0,0,SUMIFS(Roster!$H$5:$H$1504,Roster!$B$5:$B$1504,$A122,Roster!$G$5:$G$1504,_xlfn.MAXIFS(Roster!$G$5:$G$1504,Roster!$B$5:$B$1504,$A122)))</f>
        <v>0</v>
      </c>
      <c r="W122" s="101" t="str">
        <f t="shared" si="13"/>
        <v>Filled</v>
      </c>
    </row>
    <row r="123" spans="1:23" x14ac:dyDescent="0.25">
      <c r="A123" s="76" t="s">
        <v>524</v>
      </c>
      <c r="B123" s="76" t="s">
        <v>362</v>
      </c>
      <c r="C123" s="76" t="s">
        <v>522</v>
      </c>
      <c r="D123" s="97">
        <v>1</v>
      </c>
      <c r="E123" s="98" t="s">
        <v>325</v>
      </c>
      <c r="F123" s="78">
        <v>53500</v>
      </c>
      <c r="G123" s="97">
        <v>1</v>
      </c>
      <c r="H123" s="98" t="s">
        <v>399</v>
      </c>
      <c r="J123" s="99">
        <f>1+Assumptions!$B$11+INDEX(Assumptions!$B$12:$B$15,D123)*Assumptions!$B$16</f>
        <v>1.3</v>
      </c>
      <c r="K123" s="82">
        <f t="shared" si="7"/>
        <v>69550</v>
      </c>
      <c r="L123" s="100">
        <f>IF(E123="Yes",MAX(0,Assumptions!$B$8-G123+1),0)</f>
        <v>8</v>
      </c>
      <c r="M123" s="82">
        <f t="shared" si="8"/>
        <v>46366.666666666664</v>
      </c>
      <c r="N123" s="100">
        <f>MIN(1,SUMIFS(Roster!$N$5:$N$1504,Roster!$B$5:$B$1504,$A123))</f>
        <v>1</v>
      </c>
      <c r="O123" s="100">
        <f>SUMIFS(Roster!$L$5:$L$1504,Roster!$B$5:$B$1504,$A123)</f>
        <v>8</v>
      </c>
      <c r="P123" s="83">
        <f>SUMIFS(Roster!$M$5:$M$1504,Roster!$B$5:$B$1504,$A123)*J123</f>
        <v>45760</v>
      </c>
      <c r="Q123" s="83">
        <f>SUMIFS(Roster!$O$5:$O$1504,Roster!$B$5:$B$1504,$A123)*J123</f>
        <v>68640</v>
      </c>
      <c r="R123" s="82">
        <f t="shared" si="9"/>
        <v>68640</v>
      </c>
      <c r="S123" s="82">
        <f t="shared" si="10"/>
        <v>0</v>
      </c>
      <c r="T123" s="82">
        <f t="shared" si="11"/>
        <v>606.66666666666424</v>
      </c>
      <c r="U123" s="82">
        <f t="shared" si="12"/>
        <v>0</v>
      </c>
      <c r="V123" s="83">
        <f>IF(COUNTIFS(Roster!$B$5:$B$1504,$A123,Roster!$G$5:$G$1504,"&gt;0")=0,0,SUMIFS(Roster!$H$5:$H$1504,Roster!$B$5:$B$1504,$A123,Roster!$G$5:$G$1504,_xlfn.MAXIFS(Roster!$G$5:$G$1504,Roster!$B$5:$B$1504,$A123)))</f>
        <v>0</v>
      </c>
      <c r="W123" s="101" t="str">
        <f t="shared" si="13"/>
        <v>Filled</v>
      </c>
    </row>
    <row r="124" spans="1:23" x14ac:dyDescent="0.25">
      <c r="A124" s="76" t="s">
        <v>525</v>
      </c>
      <c r="B124" s="76" t="s">
        <v>362</v>
      </c>
      <c r="C124" s="76" t="s">
        <v>526</v>
      </c>
      <c r="D124" s="97">
        <v>3</v>
      </c>
      <c r="E124" s="98" t="s">
        <v>325</v>
      </c>
      <c r="F124" s="78">
        <v>134500</v>
      </c>
      <c r="G124" s="97">
        <v>1</v>
      </c>
      <c r="H124" s="98" t="s">
        <v>399</v>
      </c>
      <c r="J124" s="99">
        <f>1+Assumptions!$B$11+INDEX(Assumptions!$B$12:$B$15,D124)*Assumptions!$B$16</f>
        <v>1.4</v>
      </c>
      <c r="K124" s="82">
        <f t="shared" si="7"/>
        <v>188300</v>
      </c>
      <c r="L124" s="100">
        <f>IF(E124="Yes",MAX(0,Assumptions!$B$8-G124+1),0)</f>
        <v>8</v>
      </c>
      <c r="M124" s="82">
        <f t="shared" si="8"/>
        <v>125533.33333333333</v>
      </c>
      <c r="N124" s="100">
        <f>MIN(1,SUMIFS(Roster!$N$5:$N$1504,Roster!$B$5:$B$1504,$A124))</f>
        <v>1</v>
      </c>
      <c r="O124" s="100">
        <f>SUMIFS(Roster!$L$5:$L$1504,Roster!$B$5:$B$1504,$A124)</f>
        <v>8</v>
      </c>
      <c r="P124" s="83">
        <f>SUMIFS(Roster!$M$5:$M$1504,Roster!$B$5:$B$1504,$A124)*J124</f>
        <v>125813.33333333333</v>
      </c>
      <c r="Q124" s="83">
        <f>SUMIFS(Roster!$O$5:$O$1504,Roster!$B$5:$B$1504,$A124)*J124</f>
        <v>188720</v>
      </c>
      <c r="R124" s="82">
        <f t="shared" si="9"/>
        <v>188720</v>
      </c>
      <c r="S124" s="82">
        <f t="shared" si="10"/>
        <v>0</v>
      </c>
      <c r="T124" s="82">
        <f t="shared" si="11"/>
        <v>-280</v>
      </c>
      <c r="U124" s="82">
        <f t="shared" si="12"/>
        <v>0</v>
      </c>
      <c r="V124" s="83">
        <f>IF(COUNTIFS(Roster!$B$5:$B$1504,$A124,Roster!$G$5:$G$1504,"&gt;0")=0,0,SUMIFS(Roster!$H$5:$H$1504,Roster!$B$5:$B$1504,$A124,Roster!$G$5:$G$1504,_xlfn.MAXIFS(Roster!$G$5:$G$1504,Roster!$B$5:$B$1504,$A124)))</f>
        <v>0</v>
      </c>
      <c r="W124" s="101" t="str">
        <f t="shared" si="13"/>
        <v>Filled</v>
      </c>
    </row>
    <row r="125" spans="1:23" x14ac:dyDescent="0.25">
      <c r="A125" s="76" t="s">
        <v>527</v>
      </c>
      <c r="B125" s="76" t="s">
        <v>362</v>
      </c>
      <c r="C125" s="76" t="s">
        <v>526</v>
      </c>
      <c r="D125" s="97">
        <v>3</v>
      </c>
      <c r="E125" s="98" t="s">
        <v>325</v>
      </c>
      <c r="F125" s="78">
        <v>118500</v>
      </c>
      <c r="G125" s="97">
        <v>1</v>
      </c>
      <c r="H125" s="98" t="s">
        <v>399</v>
      </c>
      <c r="J125" s="99">
        <f>1+Assumptions!$B$11+INDEX(Assumptions!$B$12:$B$15,D125)*Assumptions!$B$16</f>
        <v>1.4</v>
      </c>
      <c r="K125" s="82">
        <f t="shared" si="7"/>
        <v>165900</v>
      </c>
      <c r="L125" s="100">
        <f>IF(E125="Yes",MAX(0,Assumptions!$B$8-G125+1),0)</f>
        <v>8</v>
      </c>
      <c r="M125" s="82">
        <f t="shared" si="8"/>
        <v>110600</v>
      </c>
      <c r="N125" s="100">
        <f>MIN(1,SUMIFS(Roster!$N$5:$N$1504,Roster!$B$5:$B$1504,$A125))</f>
        <v>1</v>
      </c>
      <c r="O125" s="100">
        <f>SUMIFS(Roster!$L$5:$L$1504,Roster!$B$5:$B$1504,$A125)</f>
        <v>8</v>
      </c>
      <c r="P125" s="83">
        <f>SUMIFS(Roster!$M$5:$M$1504,Roster!$B$5:$B$1504,$A125)*J125</f>
        <v>111813.33333333333</v>
      </c>
      <c r="Q125" s="83">
        <f>SUMIFS(Roster!$O$5:$O$1504,Roster!$B$5:$B$1504,$A125)*J125</f>
        <v>167720</v>
      </c>
      <c r="R125" s="82">
        <f t="shared" si="9"/>
        <v>167720</v>
      </c>
      <c r="S125" s="82">
        <f t="shared" si="10"/>
        <v>0</v>
      </c>
      <c r="T125" s="82">
        <f t="shared" si="11"/>
        <v>-1213.3333333333285</v>
      </c>
      <c r="U125" s="82">
        <f t="shared" si="12"/>
        <v>0</v>
      </c>
      <c r="V125" s="83">
        <f>IF(COUNTIFS(Roster!$B$5:$B$1504,$A125,Roster!$G$5:$G$1504,"&gt;0")=0,0,SUMIFS(Roster!$H$5:$H$1504,Roster!$B$5:$B$1504,$A125,Roster!$G$5:$G$1504,_xlfn.MAXIFS(Roster!$G$5:$G$1504,Roster!$B$5:$B$1504,$A125)))</f>
        <v>0</v>
      </c>
      <c r="W125" s="101" t="str">
        <f t="shared" si="13"/>
        <v>Filled</v>
      </c>
    </row>
    <row r="126" spans="1:23" x14ac:dyDescent="0.25">
      <c r="A126" s="76" t="s">
        <v>528</v>
      </c>
      <c r="B126" s="76" t="s">
        <v>362</v>
      </c>
      <c r="C126" s="76" t="s">
        <v>526</v>
      </c>
      <c r="D126" s="97">
        <v>3</v>
      </c>
      <c r="E126" s="98" t="s">
        <v>325</v>
      </c>
      <c r="F126" s="78">
        <v>111500</v>
      </c>
      <c r="G126" s="97">
        <v>1</v>
      </c>
      <c r="H126" s="98" t="s">
        <v>399</v>
      </c>
      <c r="J126" s="99">
        <f>1+Assumptions!$B$11+INDEX(Assumptions!$B$12:$B$15,D126)*Assumptions!$B$16</f>
        <v>1.4</v>
      </c>
      <c r="K126" s="82">
        <f t="shared" si="7"/>
        <v>156100</v>
      </c>
      <c r="L126" s="100">
        <f>IF(E126="Yes",MAX(0,Assumptions!$B$8-G126+1),0)</f>
        <v>8</v>
      </c>
      <c r="M126" s="82">
        <f t="shared" si="8"/>
        <v>104066.66666666667</v>
      </c>
      <c r="N126" s="100">
        <f>MIN(1,SUMIFS(Roster!$N$5:$N$1504,Roster!$B$5:$B$1504,$A126))</f>
        <v>1</v>
      </c>
      <c r="O126" s="100">
        <f>SUMIFS(Roster!$L$5:$L$1504,Roster!$B$5:$B$1504,$A126)</f>
        <v>8</v>
      </c>
      <c r="P126" s="83">
        <f>SUMIFS(Roster!$M$5:$M$1504,Roster!$B$5:$B$1504,$A126)*J126</f>
        <v>104066.66666666666</v>
      </c>
      <c r="Q126" s="83">
        <f>SUMIFS(Roster!$O$5:$O$1504,Roster!$B$5:$B$1504,$A126)*J126</f>
        <v>156100</v>
      </c>
      <c r="R126" s="82">
        <f t="shared" si="9"/>
        <v>156100</v>
      </c>
      <c r="S126" s="82">
        <f t="shared" si="10"/>
        <v>0</v>
      </c>
      <c r="T126" s="82">
        <f t="shared" si="11"/>
        <v>1.4551915228366852E-11</v>
      </c>
      <c r="U126" s="82">
        <f t="shared" si="12"/>
        <v>0</v>
      </c>
      <c r="V126" s="83">
        <f>IF(COUNTIFS(Roster!$B$5:$B$1504,$A126,Roster!$G$5:$G$1504,"&gt;0")=0,0,SUMIFS(Roster!$H$5:$H$1504,Roster!$B$5:$B$1504,$A126,Roster!$G$5:$G$1504,_xlfn.MAXIFS(Roster!$G$5:$G$1504,Roster!$B$5:$B$1504,$A126)))</f>
        <v>0</v>
      </c>
      <c r="W126" s="101" t="str">
        <f t="shared" si="13"/>
        <v>Filled</v>
      </c>
    </row>
    <row r="127" spans="1:23" x14ac:dyDescent="0.25">
      <c r="A127" s="76" t="s">
        <v>529</v>
      </c>
      <c r="B127" s="76" t="s">
        <v>362</v>
      </c>
      <c r="C127" s="76" t="s">
        <v>522</v>
      </c>
      <c r="D127" s="97">
        <v>1</v>
      </c>
      <c r="E127" s="98" t="s">
        <v>325</v>
      </c>
      <c r="F127" s="78">
        <v>59500</v>
      </c>
      <c r="G127" s="97">
        <v>1</v>
      </c>
      <c r="H127" s="98" t="s">
        <v>399</v>
      </c>
      <c r="J127" s="99">
        <f>1+Assumptions!$B$11+INDEX(Assumptions!$B$12:$B$15,D127)*Assumptions!$B$16</f>
        <v>1.3</v>
      </c>
      <c r="K127" s="82">
        <f t="shared" si="7"/>
        <v>77350</v>
      </c>
      <c r="L127" s="100">
        <f>IF(E127="Yes",MAX(0,Assumptions!$B$8-G127+1),0)</f>
        <v>8</v>
      </c>
      <c r="M127" s="82">
        <f t="shared" si="8"/>
        <v>51566.666666666664</v>
      </c>
      <c r="N127" s="100">
        <f>MIN(1,SUMIFS(Roster!$N$5:$N$1504,Roster!$B$5:$B$1504,$A127))</f>
        <v>1</v>
      </c>
      <c r="O127" s="100">
        <f>SUMIFS(Roster!$L$5:$L$1504,Roster!$B$5:$B$1504,$A127)</f>
        <v>8</v>
      </c>
      <c r="P127" s="83">
        <f>SUMIFS(Roster!$M$5:$M$1504,Roster!$B$5:$B$1504,$A127)*J127</f>
        <v>51480</v>
      </c>
      <c r="Q127" s="83">
        <f>SUMIFS(Roster!$O$5:$O$1504,Roster!$B$5:$B$1504,$A127)*J127</f>
        <v>77220</v>
      </c>
      <c r="R127" s="82">
        <f t="shared" si="9"/>
        <v>77220</v>
      </c>
      <c r="S127" s="82">
        <f t="shared" si="10"/>
        <v>0</v>
      </c>
      <c r="T127" s="82">
        <f t="shared" si="11"/>
        <v>86.666666666664241</v>
      </c>
      <c r="U127" s="82">
        <f t="shared" si="12"/>
        <v>0</v>
      </c>
      <c r="V127" s="83">
        <f>IF(COUNTIFS(Roster!$B$5:$B$1504,$A127,Roster!$G$5:$G$1504,"&gt;0")=0,0,SUMIFS(Roster!$H$5:$H$1504,Roster!$B$5:$B$1504,$A127,Roster!$G$5:$G$1504,_xlfn.MAXIFS(Roster!$G$5:$G$1504,Roster!$B$5:$B$1504,$A127)))</f>
        <v>0</v>
      </c>
      <c r="W127" s="101" t="str">
        <f t="shared" si="13"/>
        <v>Filled</v>
      </c>
    </row>
    <row r="128" spans="1:23" x14ac:dyDescent="0.25">
      <c r="A128" s="76" t="s">
        <v>530</v>
      </c>
      <c r="B128" s="76" t="s">
        <v>362</v>
      </c>
      <c r="C128" s="76" t="s">
        <v>520</v>
      </c>
      <c r="D128" s="97">
        <v>2</v>
      </c>
      <c r="E128" s="98" t="s">
        <v>325</v>
      </c>
      <c r="F128" s="78">
        <v>87000</v>
      </c>
      <c r="G128" s="97">
        <v>1</v>
      </c>
      <c r="H128" s="98" t="s">
        <v>399</v>
      </c>
      <c r="J128" s="99">
        <f>1+Assumptions!$B$11+INDEX(Assumptions!$B$12:$B$15,D128)*Assumptions!$B$16</f>
        <v>1.35</v>
      </c>
      <c r="K128" s="82">
        <f t="shared" si="7"/>
        <v>117450.00000000001</v>
      </c>
      <c r="L128" s="100">
        <f>IF(E128="Yes",MAX(0,Assumptions!$B$8-G128+1),0)</f>
        <v>8</v>
      </c>
      <c r="M128" s="82">
        <f t="shared" si="8"/>
        <v>78300.000000000015</v>
      </c>
      <c r="N128" s="100">
        <f>MIN(1,SUMIFS(Roster!$N$5:$N$1504,Roster!$B$5:$B$1504,$A128))</f>
        <v>1</v>
      </c>
      <c r="O128" s="100">
        <f>SUMIFS(Roster!$L$5:$L$1504,Roster!$B$5:$B$1504,$A128)</f>
        <v>7</v>
      </c>
      <c r="P128" s="83">
        <f>SUMIFS(Roster!$M$5:$M$1504,Roster!$B$5:$B$1504,$A128)*J128</f>
        <v>70582.5</v>
      </c>
      <c r="Q128" s="83">
        <f>SUMIFS(Roster!$O$5:$O$1504,Roster!$B$5:$B$1504,$A128)*J128</f>
        <v>125550.00000000001</v>
      </c>
      <c r="R128" s="82">
        <f t="shared" si="9"/>
        <v>125550.00000000001</v>
      </c>
      <c r="S128" s="82">
        <f t="shared" si="10"/>
        <v>9787.5000000000018</v>
      </c>
      <c r="T128" s="82">
        <f t="shared" si="11"/>
        <v>-2069.9999999999854</v>
      </c>
      <c r="U128" s="82">
        <f t="shared" si="12"/>
        <v>0</v>
      </c>
      <c r="V128" s="83">
        <f>IF(COUNTIFS(Roster!$B$5:$B$1504,$A128,Roster!$G$5:$G$1504,"&gt;0")=0,0,SUMIFS(Roster!$H$5:$H$1504,Roster!$B$5:$B$1504,$A128,Roster!$G$5:$G$1504,_xlfn.MAXIFS(Roster!$G$5:$G$1504,Roster!$B$5:$B$1504,$A128)))</f>
        <v>87100</v>
      </c>
      <c r="W128" s="101" t="str">
        <f t="shared" si="13"/>
        <v>Filled</v>
      </c>
    </row>
    <row r="129" spans="1:23" x14ac:dyDescent="0.25">
      <c r="A129" s="76" t="s">
        <v>531</v>
      </c>
      <c r="B129" s="76" t="s">
        <v>362</v>
      </c>
      <c r="C129" s="76" t="s">
        <v>520</v>
      </c>
      <c r="D129" s="97">
        <v>2</v>
      </c>
      <c r="E129" s="98" t="s">
        <v>325</v>
      </c>
      <c r="F129" s="78">
        <v>87500</v>
      </c>
      <c r="G129" s="97">
        <v>1</v>
      </c>
      <c r="H129" s="98" t="s">
        <v>399</v>
      </c>
      <c r="J129" s="99">
        <f>1+Assumptions!$B$11+INDEX(Assumptions!$B$12:$B$15,D129)*Assumptions!$B$16</f>
        <v>1.35</v>
      </c>
      <c r="K129" s="82">
        <f t="shared" si="7"/>
        <v>118125.00000000001</v>
      </c>
      <c r="L129" s="100">
        <f>IF(E129="Yes",MAX(0,Assumptions!$B$8-G129+1),0)</f>
        <v>8</v>
      </c>
      <c r="M129" s="82">
        <f t="shared" si="8"/>
        <v>78750.000000000015</v>
      </c>
      <c r="N129" s="100">
        <f>MIN(1,SUMIFS(Roster!$N$5:$N$1504,Roster!$B$5:$B$1504,$A129))</f>
        <v>1</v>
      </c>
      <c r="O129" s="100">
        <f>SUMIFS(Roster!$L$5:$L$1504,Roster!$B$5:$B$1504,$A129)</f>
        <v>8</v>
      </c>
      <c r="P129" s="83">
        <f>SUMIFS(Roster!$M$5:$M$1504,Roster!$B$5:$B$1504,$A129)*J129</f>
        <v>77850</v>
      </c>
      <c r="Q129" s="83">
        <f>SUMIFS(Roster!$O$5:$O$1504,Roster!$B$5:$B$1504,$A129)*J129</f>
        <v>116775.00000000001</v>
      </c>
      <c r="R129" s="82">
        <f t="shared" si="9"/>
        <v>116775.00000000001</v>
      </c>
      <c r="S129" s="82">
        <f t="shared" si="10"/>
        <v>0</v>
      </c>
      <c r="T129" s="82">
        <f t="shared" si="11"/>
        <v>900.00000000001455</v>
      </c>
      <c r="U129" s="82">
        <f t="shared" si="12"/>
        <v>0</v>
      </c>
      <c r="V129" s="83">
        <f>IF(COUNTIFS(Roster!$B$5:$B$1504,$A129,Roster!$G$5:$G$1504,"&gt;0")=0,0,SUMIFS(Roster!$H$5:$H$1504,Roster!$B$5:$B$1504,$A129,Roster!$G$5:$G$1504,_xlfn.MAXIFS(Roster!$G$5:$G$1504,Roster!$B$5:$B$1504,$A129)))</f>
        <v>0</v>
      </c>
      <c r="W129" s="101" t="str">
        <f t="shared" si="13"/>
        <v>Filled</v>
      </c>
    </row>
    <row r="130" spans="1:23" x14ac:dyDescent="0.25">
      <c r="A130" s="76" t="s">
        <v>532</v>
      </c>
      <c r="B130" s="76" t="s">
        <v>362</v>
      </c>
      <c r="C130" s="76" t="s">
        <v>522</v>
      </c>
      <c r="D130" s="97">
        <v>1</v>
      </c>
      <c r="E130" s="98" t="s">
        <v>325</v>
      </c>
      <c r="F130" s="78">
        <v>57500</v>
      </c>
      <c r="G130" s="97">
        <v>1</v>
      </c>
      <c r="H130" s="98" t="s">
        <v>399</v>
      </c>
      <c r="J130" s="99">
        <f>1+Assumptions!$B$11+INDEX(Assumptions!$B$12:$B$15,D130)*Assumptions!$B$16</f>
        <v>1.3</v>
      </c>
      <c r="K130" s="82">
        <f t="shared" si="7"/>
        <v>74750</v>
      </c>
      <c r="L130" s="100">
        <f>IF(E130="Yes",MAX(0,Assumptions!$B$8-G130+1),0)</f>
        <v>8</v>
      </c>
      <c r="M130" s="82">
        <f t="shared" si="8"/>
        <v>49833.333333333336</v>
      </c>
      <c r="N130" s="100">
        <f>MIN(1,SUMIFS(Roster!$N$5:$N$1504,Roster!$B$5:$B$1504,$A130))</f>
        <v>1</v>
      </c>
      <c r="O130" s="100">
        <f>SUMIFS(Roster!$L$5:$L$1504,Roster!$B$5:$B$1504,$A130)</f>
        <v>8</v>
      </c>
      <c r="P130" s="83">
        <f>SUMIFS(Roster!$M$5:$M$1504,Roster!$B$5:$B$1504,$A130)*J130</f>
        <v>49226.666666666664</v>
      </c>
      <c r="Q130" s="83">
        <f>SUMIFS(Roster!$O$5:$O$1504,Roster!$B$5:$B$1504,$A130)*J130</f>
        <v>73840</v>
      </c>
      <c r="R130" s="82">
        <f t="shared" si="9"/>
        <v>73840</v>
      </c>
      <c r="S130" s="82">
        <f t="shared" si="10"/>
        <v>0</v>
      </c>
      <c r="T130" s="82">
        <f t="shared" si="11"/>
        <v>606.66666666667152</v>
      </c>
      <c r="U130" s="82">
        <f t="shared" si="12"/>
        <v>0</v>
      </c>
      <c r="V130" s="83">
        <f>IF(COUNTIFS(Roster!$B$5:$B$1504,$A130,Roster!$G$5:$G$1504,"&gt;0")=0,0,SUMIFS(Roster!$H$5:$H$1504,Roster!$B$5:$B$1504,$A130,Roster!$G$5:$G$1504,_xlfn.MAXIFS(Roster!$G$5:$G$1504,Roster!$B$5:$B$1504,$A130)))</f>
        <v>0</v>
      </c>
      <c r="W130" s="101" t="str">
        <f t="shared" si="13"/>
        <v>Filled</v>
      </c>
    </row>
    <row r="131" spans="1:23" x14ac:dyDescent="0.25">
      <c r="A131" s="76" t="s">
        <v>533</v>
      </c>
      <c r="B131" s="76" t="s">
        <v>362</v>
      </c>
      <c r="C131" s="76" t="s">
        <v>520</v>
      </c>
      <c r="D131" s="97">
        <v>2</v>
      </c>
      <c r="E131" s="98" t="s">
        <v>325</v>
      </c>
      <c r="F131" s="78">
        <v>84000</v>
      </c>
      <c r="G131" s="97">
        <v>1</v>
      </c>
      <c r="H131" s="98" t="s">
        <v>399</v>
      </c>
      <c r="J131" s="99">
        <f>1+Assumptions!$B$11+INDEX(Assumptions!$B$12:$B$15,D131)*Assumptions!$B$16</f>
        <v>1.35</v>
      </c>
      <c r="K131" s="82">
        <f t="shared" si="7"/>
        <v>113400.00000000001</v>
      </c>
      <c r="L131" s="100">
        <f>IF(E131="Yes",MAX(0,Assumptions!$B$8-G131+1),0)</f>
        <v>8</v>
      </c>
      <c r="M131" s="82">
        <f t="shared" si="8"/>
        <v>75600.000000000015</v>
      </c>
      <c r="N131" s="100">
        <f>MIN(1,SUMIFS(Roster!$N$5:$N$1504,Roster!$B$5:$B$1504,$A131))</f>
        <v>1</v>
      </c>
      <c r="O131" s="100">
        <f>SUMIFS(Roster!$L$5:$L$1504,Roster!$B$5:$B$1504,$A131)</f>
        <v>8</v>
      </c>
      <c r="P131" s="83">
        <f>SUMIFS(Roster!$M$5:$M$1504,Roster!$B$5:$B$1504,$A131)*J131</f>
        <v>75060</v>
      </c>
      <c r="Q131" s="83">
        <f>SUMIFS(Roster!$O$5:$O$1504,Roster!$B$5:$B$1504,$A131)*J131</f>
        <v>112590.00000000001</v>
      </c>
      <c r="R131" s="82">
        <f t="shared" si="9"/>
        <v>112590.00000000001</v>
      </c>
      <c r="S131" s="82">
        <f t="shared" si="10"/>
        <v>0</v>
      </c>
      <c r="T131" s="82">
        <f t="shared" si="11"/>
        <v>540.00000000001455</v>
      </c>
      <c r="U131" s="82">
        <f t="shared" si="12"/>
        <v>0</v>
      </c>
      <c r="V131" s="83">
        <f>IF(COUNTIFS(Roster!$B$5:$B$1504,$A131,Roster!$G$5:$G$1504,"&gt;0")=0,0,SUMIFS(Roster!$H$5:$H$1504,Roster!$B$5:$B$1504,$A131,Roster!$G$5:$G$1504,_xlfn.MAXIFS(Roster!$G$5:$G$1504,Roster!$B$5:$B$1504,$A131)))</f>
        <v>0</v>
      </c>
      <c r="W131" s="101" t="str">
        <f t="shared" si="13"/>
        <v>Filled</v>
      </c>
    </row>
    <row r="132" spans="1:23" x14ac:dyDescent="0.25">
      <c r="A132" s="76" t="s">
        <v>534</v>
      </c>
      <c r="B132" s="76" t="s">
        <v>362</v>
      </c>
      <c r="C132" s="76" t="s">
        <v>522</v>
      </c>
      <c r="D132" s="97">
        <v>1</v>
      </c>
      <c r="E132" s="98" t="s">
        <v>325</v>
      </c>
      <c r="F132" s="78">
        <v>67000</v>
      </c>
      <c r="G132" s="97">
        <v>1</v>
      </c>
      <c r="H132" s="98" t="s">
        <v>399</v>
      </c>
      <c r="J132" s="99">
        <f>1+Assumptions!$B$11+INDEX(Assumptions!$B$12:$B$15,D132)*Assumptions!$B$16</f>
        <v>1.3</v>
      </c>
      <c r="K132" s="82">
        <f t="shared" si="7"/>
        <v>87100</v>
      </c>
      <c r="L132" s="100">
        <f>IF(E132="Yes",MAX(0,Assumptions!$B$8-G132+1),0)</f>
        <v>8</v>
      </c>
      <c r="M132" s="82">
        <f t="shared" si="8"/>
        <v>58066.666666666664</v>
      </c>
      <c r="N132" s="100">
        <f>MIN(1,SUMIFS(Roster!$N$5:$N$1504,Roster!$B$5:$B$1504,$A132))</f>
        <v>1</v>
      </c>
      <c r="O132" s="100">
        <f>SUMIFS(Roster!$L$5:$L$1504,Roster!$B$5:$B$1504,$A132)</f>
        <v>8</v>
      </c>
      <c r="P132" s="83">
        <f>SUMIFS(Roster!$M$5:$M$1504,Roster!$B$5:$B$1504,$A132)*J132</f>
        <v>57806.666666666664</v>
      </c>
      <c r="Q132" s="83">
        <f>SUMIFS(Roster!$O$5:$O$1504,Roster!$B$5:$B$1504,$A132)*J132</f>
        <v>86710</v>
      </c>
      <c r="R132" s="82">
        <f t="shared" si="9"/>
        <v>86710</v>
      </c>
      <c r="S132" s="82">
        <f t="shared" si="10"/>
        <v>0</v>
      </c>
      <c r="T132" s="82">
        <f t="shared" si="11"/>
        <v>260</v>
      </c>
      <c r="U132" s="82">
        <f t="shared" si="12"/>
        <v>0</v>
      </c>
      <c r="V132" s="83">
        <f>IF(COUNTIFS(Roster!$B$5:$B$1504,$A132,Roster!$G$5:$G$1504,"&gt;0")=0,0,SUMIFS(Roster!$H$5:$H$1504,Roster!$B$5:$B$1504,$A132,Roster!$G$5:$G$1504,_xlfn.MAXIFS(Roster!$G$5:$G$1504,Roster!$B$5:$B$1504,$A132)))</f>
        <v>0</v>
      </c>
      <c r="W132" s="101" t="str">
        <f t="shared" si="13"/>
        <v>Filled</v>
      </c>
    </row>
    <row r="133" spans="1:23" x14ac:dyDescent="0.25">
      <c r="A133" s="76" t="s">
        <v>535</v>
      </c>
      <c r="B133" s="76" t="s">
        <v>362</v>
      </c>
      <c r="C133" s="76" t="s">
        <v>520</v>
      </c>
      <c r="D133" s="97">
        <v>2</v>
      </c>
      <c r="E133" s="98" t="s">
        <v>325</v>
      </c>
      <c r="F133" s="78">
        <v>90000</v>
      </c>
      <c r="G133" s="97">
        <v>1</v>
      </c>
      <c r="H133" s="98" t="s">
        <v>399</v>
      </c>
      <c r="J133" s="99">
        <f>1+Assumptions!$B$11+INDEX(Assumptions!$B$12:$B$15,D133)*Assumptions!$B$16</f>
        <v>1.35</v>
      </c>
      <c r="K133" s="82">
        <f t="shared" ref="K133:K196" si="14">IF(E133="Yes",F133*J133,0)</f>
        <v>121500.00000000001</v>
      </c>
      <c r="L133" s="100">
        <f>IF(E133="Yes",MAX(0,Assumptions!$B$8-G133+1),0)</f>
        <v>8</v>
      </c>
      <c r="M133" s="82">
        <f t="shared" ref="M133:M196" si="15">K133/12*L133</f>
        <v>81000.000000000015</v>
      </c>
      <c r="N133" s="100">
        <f>MIN(1,SUMIFS(Roster!$N$5:$N$1504,Roster!$B$5:$B$1504,$A133))</f>
        <v>1</v>
      </c>
      <c r="O133" s="100">
        <f>SUMIFS(Roster!$L$5:$L$1504,Roster!$B$5:$B$1504,$A133)</f>
        <v>8</v>
      </c>
      <c r="P133" s="83">
        <f>SUMIFS(Roster!$M$5:$M$1504,Roster!$B$5:$B$1504,$A133)*J133</f>
        <v>81360</v>
      </c>
      <c r="Q133" s="83">
        <f>SUMIFS(Roster!$O$5:$O$1504,Roster!$B$5:$B$1504,$A133)*J133</f>
        <v>122040.00000000001</v>
      </c>
      <c r="R133" s="82">
        <f t="shared" ref="R133:R196" si="16">IF(N133=1,Q133,IF(AND(E133="Yes",H133="Fill"),K133,0))</f>
        <v>122040.00000000001</v>
      </c>
      <c r="S133" s="82">
        <f t="shared" ref="S133:S196" si="17">(L133-O133)*K133/12</f>
        <v>0</v>
      </c>
      <c r="T133" s="82">
        <f t="shared" ref="T133:T196" si="18">IF(E133="Yes",O133*K133/12-P133,0)</f>
        <v>-359.99999999998545</v>
      </c>
      <c r="U133" s="82">
        <f t="shared" ref="U133:U196" si="19">IF(E133="No",-P133,0)</f>
        <v>0</v>
      </c>
      <c r="V133" s="83">
        <f>IF(COUNTIFS(Roster!$B$5:$B$1504,$A133,Roster!$G$5:$G$1504,"&gt;0")=0,0,SUMIFS(Roster!$H$5:$H$1504,Roster!$B$5:$B$1504,$A133,Roster!$G$5:$G$1504,_xlfn.MAXIFS(Roster!$G$5:$G$1504,Roster!$B$5:$B$1504,$A133)))</f>
        <v>0</v>
      </c>
      <c r="W133" s="101" t="str">
        <f t="shared" ref="W133:W196" si="20">IF(N133=1,IF(E133="Yes","Filled","Unbudgeted hire"),IF(E133="Yes",IF(H133="Hold","Open: on hold","Open: to fill"),"Unbudgeted (left)"))</f>
        <v>Filled</v>
      </c>
    </row>
    <row r="134" spans="1:23" x14ac:dyDescent="0.25">
      <c r="A134" s="76" t="s">
        <v>536</v>
      </c>
      <c r="B134" s="76" t="s">
        <v>362</v>
      </c>
      <c r="C134" s="76" t="s">
        <v>522</v>
      </c>
      <c r="D134" s="97">
        <v>1</v>
      </c>
      <c r="E134" s="98" t="s">
        <v>325</v>
      </c>
      <c r="F134" s="78">
        <v>61000</v>
      </c>
      <c r="G134" s="97">
        <v>1</v>
      </c>
      <c r="H134" s="98" t="s">
        <v>399</v>
      </c>
      <c r="J134" s="99">
        <f>1+Assumptions!$B$11+INDEX(Assumptions!$B$12:$B$15,D134)*Assumptions!$B$16</f>
        <v>1.3</v>
      </c>
      <c r="K134" s="82">
        <f t="shared" si="14"/>
        <v>79300</v>
      </c>
      <c r="L134" s="100">
        <f>IF(E134="Yes",MAX(0,Assumptions!$B$8-G134+1),0)</f>
        <v>8</v>
      </c>
      <c r="M134" s="82">
        <f t="shared" si="15"/>
        <v>52866.666666666664</v>
      </c>
      <c r="N134" s="100">
        <f>MIN(1,SUMIFS(Roster!$N$5:$N$1504,Roster!$B$5:$B$1504,$A134))</f>
        <v>1</v>
      </c>
      <c r="O134" s="100">
        <f>SUMIFS(Roster!$L$5:$L$1504,Roster!$B$5:$B$1504,$A134)</f>
        <v>8</v>
      </c>
      <c r="P134" s="83">
        <f>SUMIFS(Roster!$M$5:$M$1504,Roster!$B$5:$B$1504,$A134)*J134</f>
        <v>52953.333333333336</v>
      </c>
      <c r="Q134" s="83">
        <f>SUMIFS(Roster!$O$5:$O$1504,Roster!$B$5:$B$1504,$A134)*J134</f>
        <v>79430</v>
      </c>
      <c r="R134" s="82">
        <f t="shared" si="16"/>
        <v>79430</v>
      </c>
      <c r="S134" s="82">
        <f t="shared" si="17"/>
        <v>0</v>
      </c>
      <c r="T134" s="82">
        <f t="shared" si="18"/>
        <v>-86.666666666671517</v>
      </c>
      <c r="U134" s="82">
        <f t="shared" si="19"/>
        <v>0</v>
      </c>
      <c r="V134" s="83">
        <f>IF(COUNTIFS(Roster!$B$5:$B$1504,$A134,Roster!$G$5:$G$1504,"&gt;0")=0,0,SUMIFS(Roster!$H$5:$H$1504,Roster!$B$5:$B$1504,$A134,Roster!$G$5:$G$1504,_xlfn.MAXIFS(Roster!$G$5:$G$1504,Roster!$B$5:$B$1504,$A134)))</f>
        <v>0</v>
      </c>
      <c r="W134" s="101" t="str">
        <f t="shared" si="20"/>
        <v>Filled</v>
      </c>
    </row>
    <row r="135" spans="1:23" x14ac:dyDescent="0.25">
      <c r="A135" s="76" t="s">
        <v>537</v>
      </c>
      <c r="B135" s="76" t="s">
        <v>362</v>
      </c>
      <c r="C135" s="76" t="s">
        <v>520</v>
      </c>
      <c r="D135" s="97">
        <v>2</v>
      </c>
      <c r="E135" s="98" t="s">
        <v>325</v>
      </c>
      <c r="F135" s="78">
        <v>79500</v>
      </c>
      <c r="G135" s="97">
        <v>1</v>
      </c>
      <c r="H135" s="98" t="s">
        <v>399</v>
      </c>
      <c r="J135" s="99">
        <f>1+Assumptions!$B$11+INDEX(Assumptions!$B$12:$B$15,D135)*Assumptions!$B$16</f>
        <v>1.35</v>
      </c>
      <c r="K135" s="82">
        <f t="shared" si="14"/>
        <v>107325</v>
      </c>
      <c r="L135" s="100">
        <f>IF(E135="Yes",MAX(0,Assumptions!$B$8-G135+1),0)</f>
        <v>8</v>
      </c>
      <c r="M135" s="82">
        <f t="shared" si="15"/>
        <v>71550</v>
      </c>
      <c r="N135" s="100">
        <f>MIN(1,SUMIFS(Roster!$N$5:$N$1504,Roster!$B$5:$B$1504,$A135))</f>
        <v>1</v>
      </c>
      <c r="O135" s="100">
        <f>SUMIFS(Roster!$L$5:$L$1504,Roster!$B$5:$B$1504,$A135)</f>
        <v>8</v>
      </c>
      <c r="P135" s="83">
        <f>SUMIFS(Roster!$M$5:$M$1504,Roster!$B$5:$B$1504,$A135)*J135</f>
        <v>71370</v>
      </c>
      <c r="Q135" s="83">
        <f>SUMIFS(Roster!$O$5:$O$1504,Roster!$B$5:$B$1504,$A135)*J135</f>
        <v>107055</v>
      </c>
      <c r="R135" s="82">
        <f t="shared" si="16"/>
        <v>107055</v>
      </c>
      <c r="S135" s="82">
        <f t="shared" si="17"/>
        <v>0</v>
      </c>
      <c r="T135" s="82">
        <f t="shared" si="18"/>
        <v>180</v>
      </c>
      <c r="U135" s="82">
        <f t="shared" si="19"/>
        <v>0</v>
      </c>
      <c r="V135" s="83">
        <f>IF(COUNTIFS(Roster!$B$5:$B$1504,$A135,Roster!$G$5:$G$1504,"&gt;0")=0,0,SUMIFS(Roster!$H$5:$H$1504,Roster!$B$5:$B$1504,$A135,Roster!$G$5:$G$1504,_xlfn.MAXIFS(Roster!$G$5:$G$1504,Roster!$B$5:$B$1504,$A135)))</f>
        <v>0</v>
      </c>
      <c r="W135" s="101" t="str">
        <f t="shared" si="20"/>
        <v>Filled</v>
      </c>
    </row>
    <row r="136" spans="1:23" x14ac:dyDescent="0.25">
      <c r="A136" s="76" t="s">
        <v>538</v>
      </c>
      <c r="B136" s="76" t="s">
        <v>362</v>
      </c>
      <c r="C136" s="76" t="s">
        <v>522</v>
      </c>
      <c r="D136" s="97">
        <v>1</v>
      </c>
      <c r="E136" s="98" t="s">
        <v>325</v>
      </c>
      <c r="F136" s="78">
        <v>67500</v>
      </c>
      <c r="G136" s="97">
        <v>1</v>
      </c>
      <c r="H136" s="98" t="s">
        <v>399</v>
      </c>
      <c r="J136" s="99">
        <f>1+Assumptions!$B$11+INDEX(Assumptions!$B$12:$B$15,D136)*Assumptions!$B$16</f>
        <v>1.3</v>
      </c>
      <c r="K136" s="82">
        <f t="shared" si="14"/>
        <v>87750</v>
      </c>
      <c r="L136" s="100">
        <f>IF(E136="Yes",MAX(0,Assumptions!$B$8-G136+1),0)</f>
        <v>8</v>
      </c>
      <c r="M136" s="82">
        <f t="shared" si="15"/>
        <v>58500</v>
      </c>
      <c r="N136" s="100">
        <f>MIN(1,SUMIFS(Roster!$N$5:$N$1504,Roster!$B$5:$B$1504,$A136))</f>
        <v>1</v>
      </c>
      <c r="O136" s="100">
        <f>SUMIFS(Roster!$L$5:$L$1504,Roster!$B$5:$B$1504,$A136)</f>
        <v>8</v>
      </c>
      <c r="P136" s="83">
        <f>SUMIFS(Roster!$M$5:$M$1504,Roster!$B$5:$B$1504,$A136)*J136</f>
        <v>59106.666666666664</v>
      </c>
      <c r="Q136" s="83">
        <f>SUMIFS(Roster!$O$5:$O$1504,Roster!$B$5:$B$1504,$A136)*J136</f>
        <v>88660</v>
      </c>
      <c r="R136" s="82">
        <f t="shared" si="16"/>
        <v>88660</v>
      </c>
      <c r="S136" s="82">
        <f t="shared" si="17"/>
        <v>0</v>
      </c>
      <c r="T136" s="82">
        <f t="shared" si="18"/>
        <v>-606.66666666666424</v>
      </c>
      <c r="U136" s="82">
        <f t="shared" si="19"/>
        <v>0</v>
      </c>
      <c r="V136" s="83">
        <f>IF(COUNTIFS(Roster!$B$5:$B$1504,$A136,Roster!$G$5:$G$1504,"&gt;0")=0,0,SUMIFS(Roster!$H$5:$H$1504,Roster!$B$5:$B$1504,$A136,Roster!$G$5:$G$1504,_xlfn.MAXIFS(Roster!$G$5:$G$1504,Roster!$B$5:$B$1504,$A136)))</f>
        <v>0</v>
      </c>
      <c r="W136" s="101" t="str">
        <f t="shared" si="20"/>
        <v>Filled</v>
      </c>
    </row>
    <row r="137" spans="1:23" x14ac:dyDescent="0.25">
      <c r="A137" s="76" t="s">
        <v>539</v>
      </c>
      <c r="B137" s="76" t="s">
        <v>362</v>
      </c>
      <c r="C137" s="76" t="s">
        <v>520</v>
      </c>
      <c r="D137" s="97">
        <v>2</v>
      </c>
      <c r="E137" s="98" t="s">
        <v>325</v>
      </c>
      <c r="F137" s="78">
        <v>75000</v>
      </c>
      <c r="G137" s="97">
        <v>1</v>
      </c>
      <c r="H137" s="98" t="s">
        <v>399</v>
      </c>
      <c r="J137" s="99">
        <f>1+Assumptions!$B$11+INDEX(Assumptions!$B$12:$B$15,D137)*Assumptions!$B$16</f>
        <v>1.35</v>
      </c>
      <c r="K137" s="82">
        <f t="shared" si="14"/>
        <v>101250</v>
      </c>
      <c r="L137" s="100">
        <f>IF(E137="Yes",MAX(0,Assumptions!$B$8-G137+1),0)</f>
        <v>8</v>
      </c>
      <c r="M137" s="82">
        <f t="shared" si="15"/>
        <v>67500</v>
      </c>
      <c r="N137" s="100">
        <f>MIN(1,SUMIFS(Roster!$N$5:$N$1504,Roster!$B$5:$B$1504,$A137))</f>
        <v>1</v>
      </c>
      <c r="O137" s="100">
        <f>SUMIFS(Roster!$L$5:$L$1504,Roster!$B$5:$B$1504,$A137)</f>
        <v>8</v>
      </c>
      <c r="P137" s="83">
        <f>SUMIFS(Roster!$M$5:$M$1504,Roster!$B$5:$B$1504,$A137)*J137</f>
        <v>67410.000000000015</v>
      </c>
      <c r="Q137" s="83">
        <f>SUMIFS(Roster!$O$5:$O$1504,Roster!$B$5:$B$1504,$A137)*J137</f>
        <v>101115</v>
      </c>
      <c r="R137" s="82">
        <f t="shared" si="16"/>
        <v>101115</v>
      </c>
      <c r="S137" s="82">
        <f t="shared" si="17"/>
        <v>0</v>
      </c>
      <c r="T137" s="82">
        <f t="shared" si="18"/>
        <v>89.999999999985448</v>
      </c>
      <c r="U137" s="82">
        <f t="shared" si="19"/>
        <v>0</v>
      </c>
      <c r="V137" s="83">
        <f>IF(COUNTIFS(Roster!$B$5:$B$1504,$A137,Roster!$G$5:$G$1504,"&gt;0")=0,0,SUMIFS(Roster!$H$5:$H$1504,Roster!$B$5:$B$1504,$A137,Roster!$G$5:$G$1504,_xlfn.MAXIFS(Roster!$G$5:$G$1504,Roster!$B$5:$B$1504,$A137)))</f>
        <v>0</v>
      </c>
      <c r="W137" s="101" t="str">
        <f t="shared" si="20"/>
        <v>Filled</v>
      </c>
    </row>
    <row r="138" spans="1:23" x14ac:dyDescent="0.25">
      <c r="A138" s="76" t="s">
        <v>540</v>
      </c>
      <c r="B138" s="76" t="s">
        <v>362</v>
      </c>
      <c r="C138" s="76" t="s">
        <v>526</v>
      </c>
      <c r="D138" s="97">
        <v>3</v>
      </c>
      <c r="E138" s="98" t="s">
        <v>325</v>
      </c>
      <c r="F138" s="78">
        <v>117000</v>
      </c>
      <c r="G138" s="97">
        <v>1</v>
      </c>
      <c r="H138" s="98" t="s">
        <v>399</v>
      </c>
      <c r="J138" s="99">
        <f>1+Assumptions!$B$11+INDEX(Assumptions!$B$12:$B$15,D138)*Assumptions!$B$16</f>
        <v>1.4</v>
      </c>
      <c r="K138" s="82">
        <f t="shared" si="14"/>
        <v>163800</v>
      </c>
      <c r="L138" s="100">
        <f>IF(E138="Yes",MAX(0,Assumptions!$B$8-G138+1),0)</f>
        <v>8</v>
      </c>
      <c r="M138" s="82">
        <f t="shared" si="15"/>
        <v>109200</v>
      </c>
      <c r="N138" s="100">
        <f>MIN(1,SUMIFS(Roster!$N$5:$N$1504,Roster!$B$5:$B$1504,$A138))</f>
        <v>1</v>
      </c>
      <c r="O138" s="100">
        <f>SUMIFS(Roster!$L$5:$L$1504,Roster!$B$5:$B$1504,$A138)</f>
        <v>8</v>
      </c>
      <c r="P138" s="83">
        <f>SUMIFS(Roster!$M$5:$M$1504,Roster!$B$5:$B$1504,$A138)*J138</f>
        <v>110693.33333333333</v>
      </c>
      <c r="Q138" s="83">
        <f>SUMIFS(Roster!$O$5:$O$1504,Roster!$B$5:$B$1504,$A138)*J138</f>
        <v>166040</v>
      </c>
      <c r="R138" s="82">
        <f t="shared" si="16"/>
        <v>166040</v>
      </c>
      <c r="S138" s="82">
        <f t="shared" si="17"/>
        <v>0</v>
      </c>
      <c r="T138" s="82">
        <f t="shared" si="18"/>
        <v>-1493.3333333333285</v>
      </c>
      <c r="U138" s="82">
        <f t="shared" si="19"/>
        <v>0</v>
      </c>
      <c r="V138" s="83">
        <f>IF(COUNTIFS(Roster!$B$5:$B$1504,$A138,Roster!$G$5:$G$1504,"&gt;0")=0,0,SUMIFS(Roster!$H$5:$H$1504,Roster!$B$5:$B$1504,$A138,Roster!$G$5:$G$1504,_xlfn.MAXIFS(Roster!$G$5:$G$1504,Roster!$B$5:$B$1504,$A138)))</f>
        <v>0</v>
      </c>
      <c r="W138" s="101" t="str">
        <f t="shared" si="20"/>
        <v>Filled</v>
      </c>
    </row>
    <row r="139" spans="1:23" x14ac:dyDescent="0.25">
      <c r="A139" s="76" t="s">
        <v>541</v>
      </c>
      <c r="B139" s="76" t="s">
        <v>362</v>
      </c>
      <c r="C139" s="76" t="s">
        <v>520</v>
      </c>
      <c r="D139" s="97">
        <v>2</v>
      </c>
      <c r="E139" s="98" t="s">
        <v>325</v>
      </c>
      <c r="F139" s="78">
        <v>89500</v>
      </c>
      <c r="G139" s="97">
        <v>1</v>
      </c>
      <c r="H139" s="98" t="s">
        <v>399</v>
      </c>
      <c r="J139" s="99">
        <f>1+Assumptions!$B$11+INDEX(Assumptions!$B$12:$B$15,D139)*Assumptions!$B$16</f>
        <v>1.35</v>
      </c>
      <c r="K139" s="82">
        <f t="shared" si="14"/>
        <v>120825.00000000001</v>
      </c>
      <c r="L139" s="100">
        <f>IF(E139="Yes",MAX(0,Assumptions!$B$8-G139+1),0)</f>
        <v>8</v>
      </c>
      <c r="M139" s="82">
        <f t="shared" si="15"/>
        <v>80550.000000000015</v>
      </c>
      <c r="N139" s="100">
        <f>MIN(1,SUMIFS(Roster!$N$5:$N$1504,Roster!$B$5:$B$1504,$A139))</f>
        <v>1</v>
      </c>
      <c r="O139" s="100">
        <f>SUMIFS(Roster!$L$5:$L$1504,Roster!$B$5:$B$1504,$A139)</f>
        <v>8</v>
      </c>
      <c r="P139" s="83">
        <f>SUMIFS(Roster!$M$5:$M$1504,Roster!$B$5:$B$1504,$A139)*J139</f>
        <v>81000</v>
      </c>
      <c r="Q139" s="83">
        <f>SUMIFS(Roster!$O$5:$O$1504,Roster!$B$5:$B$1504,$A139)*J139</f>
        <v>121500.00000000001</v>
      </c>
      <c r="R139" s="82">
        <f t="shared" si="16"/>
        <v>121500.00000000001</v>
      </c>
      <c r="S139" s="82">
        <f t="shared" si="17"/>
        <v>0</v>
      </c>
      <c r="T139" s="82">
        <f t="shared" si="18"/>
        <v>-449.99999999998545</v>
      </c>
      <c r="U139" s="82">
        <f t="shared" si="19"/>
        <v>0</v>
      </c>
      <c r="V139" s="83">
        <f>IF(COUNTIFS(Roster!$B$5:$B$1504,$A139,Roster!$G$5:$G$1504,"&gt;0")=0,0,SUMIFS(Roster!$H$5:$H$1504,Roster!$B$5:$B$1504,$A139,Roster!$G$5:$G$1504,_xlfn.MAXIFS(Roster!$G$5:$G$1504,Roster!$B$5:$B$1504,$A139)))</f>
        <v>0</v>
      </c>
      <c r="W139" s="101" t="str">
        <f t="shared" si="20"/>
        <v>Filled</v>
      </c>
    </row>
    <row r="140" spans="1:23" x14ac:dyDescent="0.25">
      <c r="A140" s="76" t="s">
        <v>542</v>
      </c>
      <c r="B140" s="76" t="s">
        <v>362</v>
      </c>
      <c r="C140" s="76" t="s">
        <v>522</v>
      </c>
      <c r="D140" s="97">
        <v>1</v>
      </c>
      <c r="E140" s="98" t="s">
        <v>325</v>
      </c>
      <c r="F140" s="78">
        <v>60000</v>
      </c>
      <c r="G140" s="97">
        <v>1</v>
      </c>
      <c r="H140" s="98" t="s">
        <v>399</v>
      </c>
      <c r="J140" s="99">
        <f>1+Assumptions!$B$11+INDEX(Assumptions!$B$12:$B$15,D140)*Assumptions!$B$16</f>
        <v>1.3</v>
      </c>
      <c r="K140" s="82">
        <f t="shared" si="14"/>
        <v>78000</v>
      </c>
      <c r="L140" s="100">
        <f>IF(E140="Yes",MAX(0,Assumptions!$B$8-G140+1),0)</f>
        <v>8</v>
      </c>
      <c r="M140" s="82">
        <f t="shared" si="15"/>
        <v>52000</v>
      </c>
      <c r="N140" s="100">
        <f>MIN(1,SUMIFS(Roster!$N$5:$N$1504,Roster!$B$5:$B$1504,$A140))</f>
        <v>1</v>
      </c>
      <c r="O140" s="100">
        <f>SUMIFS(Roster!$L$5:$L$1504,Roster!$B$5:$B$1504,$A140)</f>
        <v>8</v>
      </c>
      <c r="P140" s="83">
        <f>SUMIFS(Roster!$M$5:$M$1504,Roster!$B$5:$B$1504,$A140)*J140</f>
        <v>51393.333333333336</v>
      </c>
      <c r="Q140" s="83">
        <f>SUMIFS(Roster!$O$5:$O$1504,Roster!$B$5:$B$1504,$A140)*J140</f>
        <v>77090</v>
      </c>
      <c r="R140" s="82">
        <f t="shared" si="16"/>
        <v>77090</v>
      </c>
      <c r="S140" s="82">
        <f t="shared" si="17"/>
        <v>0</v>
      </c>
      <c r="T140" s="82">
        <f t="shared" si="18"/>
        <v>606.66666666666424</v>
      </c>
      <c r="U140" s="82">
        <f t="shared" si="19"/>
        <v>0</v>
      </c>
      <c r="V140" s="83">
        <f>IF(COUNTIFS(Roster!$B$5:$B$1504,$A140,Roster!$G$5:$G$1504,"&gt;0")=0,0,SUMIFS(Roster!$H$5:$H$1504,Roster!$B$5:$B$1504,$A140,Roster!$G$5:$G$1504,_xlfn.MAXIFS(Roster!$G$5:$G$1504,Roster!$B$5:$B$1504,$A140)))</f>
        <v>0</v>
      </c>
      <c r="W140" s="101" t="str">
        <f t="shared" si="20"/>
        <v>Filled</v>
      </c>
    </row>
    <row r="141" spans="1:23" x14ac:dyDescent="0.25">
      <c r="A141" s="76" t="s">
        <v>543</v>
      </c>
      <c r="B141" s="76" t="s">
        <v>362</v>
      </c>
      <c r="C141" s="76" t="s">
        <v>520</v>
      </c>
      <c r="D141" s="97">
        <v>2</v>
      </c>
      <c r="E141" s="98" t="s">
        <v>325</v>
      </c>
      <c r="F141" s="78">
        <v>87000</v>
      </c>
      <c r="G141" s="97">
        <v>1</v>
      </c>
      <c r="H141" s="98" t="s">
        <v>399</v>
      </c>
      <c r="J141" s="99">
        <f>1+Assumptions!$B$11+INDEX(Assumptions!$B$12:$B$15,D141)*Assumptions!$B$16</f>
        <v>1.35</v>
      </c>
      <c r="K141" s="82">
        <f t="shared" si="14"/>
        <v>117450.00000000001</v>
      </c>
      <c r="L141" s="100">
        <f>IF(E141="Yes",MAX(0,Assumptions!$B$8-G141+1),0)</f>
        <v>8</v>
      </c>
      <c r="M141" s="82">
        <f t="shared" si="15"/>
        <v>78300.000000000015</v>
      </c>
      <c r="N141" s="100">
        <f>MIN(1,SUMIFS(Roster!$N$5:$N$1504,Roster!$B$5:$B$1504,$A141))</f>
        <v>1</v>
      </c>
      <c r="O141" s="100">
        <f>SUMIFS(Roster!$L$5:$L$1504,Roster!$B$5:$B$1504,$A141)</f>
        <v>8</v>
      </c>
      <c r="P141" s="83">
        <f>SUMIFS(Roster!$M$5:$M$1504,Roster!$B$5:$B$1504,$A141)*J141</f>
        <v>78390</v>
      </c>
      <c r="Q141" s="83">
        <f>SUMIFS(Roster!$O$5:$O$1504,Roster!$B$5:$B$1504,$A141)*J141</f>
        <v>117585.00000000001</v>
      </c>
      <c r="R141" s="82">
        <f t="shared" si="16"/>
        <v>117585.00000000001</v>
      </c>
      <c r="S141" s="82">
        <f t="shared" si="17"/>
        <v>0</v>
      </c>
      <c r="T141" s="82">
        <f t="shared" si="18"/>
        <v>-89.999999999985448</v>
      </c>
      <c r="U141" s="82">
        <f t="shared" si="19"/>
        <v>0</v>
      </c>
      <c r="V141" s="83">
        <f>IF(COUNTIFS(Roster!$B$5:$B$1504,$A141,Roster!$G$5:$G$1504,"&gt;0")=0,0,SUMIFS(Roster!$H$5:$H$1504,Roster!$B$5:$B$1504,$A141,Roster!$G$5:$G$1504,_xlfn.MAXIFS(Roster!$G$5:$G$1504,Roster!$B$5:$B$1504,$A141)))</f>
        <v>0</v>
      </c>
      <c r="W141" s="101" t="str">
        <f t="shared" si="20"/>
        <v>Filled</v>
      </c>
    </row>
    <row r="142" spans="1:23" x14ac:dyDescent="0.25">
      <c r="A142" s="76" t="s">
        <v>544</v>
      </c>
      <c r="B142" s="76" t="s">
        <v>362</v>
      </c>
      <c r="C142" s="76" t="s">
        <v>526</v>
      </c>
      <c r="D142" s="97">
        <v>3</v>
      </c>
      <c r="E142" s="98" t="s">
        <v>325</v>
      </c>
      <c r="F142" s="78">
        <v>135000</v>
      </c>
      <c r="G142" s="97">
        <v>1</v>
      </c>
      <c r="H142" s="98" t="s">
        <v>399</v>
      </c>
      <c r="J142" s="99">
        <f>1+Assumptions!$B$11+INDEX(Assumptions!$B$12:$B$15,D142)*Assumptions!$B$16</f>
        <v>1.4</v>
      </c>
      <c r="K142" s="82">
        <f t="shared" si="14"/>
        <v>189000</v>
      </c>
      <c r="L142" s="100">
        <f>IF(E142="Yes",MAX(0,Assumptions!$B$8-G142+1),0)</f>
        <v>8</v>
      </c>
      <c r="M142" s="82">
        <f t="shared" si="15"/>
        <v>126000</v>
      </c>
      <c r="N142" s="100">
        <f>MIN(1,SUMIFS(Roster!$N$5:$N$1504,Roster!$B$5:$B$1504,$A142))</f>
        <v>1</v>
      </c>
      <c r="O142" s="100">
        <f>SUMIFS(Roster!$L$5:$L$1504,Roster!$B$5:$B$1504,$A142)</f>
        <v>8</v>
      </c>
      <c r="P142" s="83">
        <f>SUMIFS(Roster!$M$5:$M$1504,Roster!$B$5:$B$1504,$A142)*J142</f>
        <v>126279.99999999999</v>
      </c>
      <c r="Q142" s="83">
        <f>SUMIFS(Roster!$O$5:$O$1504,Roster!$B$5:$B$1504,$A142)*J142</f>
        <v>189420</v>
      </c>
      <c r="R142" s="82">
        <f t="shared" si="16"/>
        <v>189420</v>
      </c>
      <c r="S142" s="82">
        <f t="shared" si="17"/>
        <v>0</v>
      </c>
      <c r="T142" s="82">
        <f t="shared" si="18"/>
        <v>-279.99999999998545</v>
      </c>
      <c r="U142" s="82">
        <f t="shared" si="19"/>
        <v>0</v>
      </c>
      <c r="V142" s="83">
        <f>IF(COUNTIFS(Roster!$B$5:$B$1504,$A142,Roster!$G$5:$G$1504,"&gt;0")=0,0,SUMIFS(Roster!$H$5:$H$1504,Roster!$B$5:$B$1504,$A142,Roster!$G$5:$G$1504,_xlfn.MAXIFS(Roster!$G$5:$G$1504,Roster!$B$5:$B$1504,$A142)))</f>
        <v>0</v>
      </c>
      <c r="W142" s="101" t="str">
        <f t="shared" si="20"/>
        <v>Filled</v>
      </c>
    </row>
    <row r="143" spans="1:23" x14ac:dyDescent="0.25">
      <c r="A143" s="76" t="s">
        <v>545</v>
      </c>
      <c r="B143" s="76" t="s">
        <v>362</v>
      </c>
      <c r="C143" s="76" t="s">
        <v>520</v>
      </c>
      <c r="D143" s="97">
        <v>2</v>
      </c>
      <c r="E143" s="98" t="s">
        <v>325</v>
      </c>
      <c r="F143" s="78">
        <v>87000</v>
      </c>
      <c r="G143" s="97">
        <v>1</v>
      </c>
      <c r="H143" s="98" t="s">
        <v>399</v>
      </c>
      <c r="J143" s="99">
        <f>1+Assumptions!$B$11+INDEX(Assumptions!$B$12:$B$15,D143)*Assumptions!$B$16</f>
        <v>1.35</v>
      </c>
      <c r="K143" s="82">
        <f t="shared" si="14"/>
        <v>117450.00000000001</v>
      </c>
      <c r="L143" s="100">
        <f>IF(E143="Yes",MAX(0,Assumptions!$B$8-G143+1),0)</f>
        <v>8</v>
      </c>
      <c r="M143" s="82">
        <f t="shared" si="15"/>
        <v>78300.000000000015</v>
      </c>
      <c r="N143" s="100">
        <f>MIN(1,SUMIFS(Roster!$N$5:$N$1504,Roster!$B$5:$B$1504,$A143))</f>
        <v>1</v>
      </c>
      <c r="O143" s="100">
        <f>SUMIFS(Roster!$L$5:$L$1504,Roster!$B$5:$B$1504,$A143)</f>
        <v>8</v>
      </c>
      <c r="P143" s="83">
        <f>SUMIFS(Roster!$M$5:$M$1504,Roster!$B$5:$B$1504,$A143)*J143</f>
        <v>79380</v>
      </c>
      <c r="Q143" s="83">
        <f>SUMIFS(Roster!$O$5:$O$1504,Roster!$B$5:$B$1504,$A143)*J143</f>
        <v>119070.00000000001</v>
      </c>
      <c r="R143" s="82">
        <f t="shared" si="16"/>
        <v>119070.00000000001</v>
      </c>
      <c r="S143" s="82">
        <f t="shared" si="17"/>
        <v>0</v>
      </c>
      <c r="T143" s="82">
        <f t="shared" si="18"/>
        <v>-1079.9999999999854</v>
      </c>
      <c r="U143" s="82">
        <f t="shared" si="19"/>
        <v>0</v>
      </c>
      <c r="V143" s="83">
        <f>IF(COUNTIFS(Roster!$B$5:$B$1504,$A143,Roster!$G$5:$G$1504,"&gt;0")=0,0,SUMIFS(Roster!$H$5:$H$1504,Roster!$B$5:$B$1504,$A143,Roster!$G$5:$G$1504,_xlfn.MAXIFS(Roster!$G$5:$G$1504,Roster!$B$5:$B$1504,$A143)))</f>
        <v>0</v>
      </c>
      <c r="W143" s="101" t="str">
        <f t="shared" si="20"/>
        <v>Filled</v>
      </c>
    </row>
    <row r="144" spans="1:23" x14ac:dyDescent="0.25">
      <c r="A144" s="76" t="s">
        <v>546</v>
      </c>
      <c r="B144" s="76" t="s">
        <v>362</v>
      </c>
      <c r="C144" s="76" t="s">
        <v>522</v>
      </c>
      <c r="D144" s="97">
        <v>1</v>
      </c>
      <c r="E144" s="98" t="s">
        <v>325</v>
      </c>
      <c r="F144" s="78">
        <v>68000</v>
      </c>
      <c r="G144" s="97">
        <v>1</v>
      </c>
      <c r="H144" s="98" t="s">
        <v>399</v>
      </c>
      <c r="J144" s="99">
        <f>1+Assumptions!$B$11+INDEX(Assumptions!$B$12:$B$15,D144)*Assumptions!$B$16</f>
        <v>1.3</v>
      </c>
      <c r="K144" s="82">
        <f t="shared" si="14"/>
        <v>88400</v>
      </c>
      <c r="L144" s="100">
        <f>IF(E144="Yes",MAX(0,Assumptions!$B$8-G144+1),0)</f>
        <v>8</v>
      </c>
      <c r="M144" s="82">
        <f t="shared" si="15"/>
        <v>58933.333333333336</v>
      </c>
      <c r="N144" s="100">
        <f>MIN(1,SUMIFS(Roster!$N$5:$N$1504,Roster!$B$5:$B$1504,$A144))</f>
        <v>1</v>
      </c>
      <c r="O144" s="100">
        <f>SUMIFS(Roster!$L$5:$L$1504,Roster!$B$5:$B$1504,$A144)</f>
        <v>8</v>
      </c>
      <c r="P144" s="83">
        <f>SUMIFS(Roster!$M$5:$M$1504,Roster!$B$5:$B$1504,$A144)*J144</f>
        <v>58500</v>
      </c>
      <c r="Q144" s="83">
        <f>SUMIFS(Roster!$O$5:$O$1504,Roster!$B$5:$B$1504,$A144)*J144</f>
        <v>87750</v>
      </c>
      <c r="R144" s="82">
        <f t="shared" si="16"/>
        <v>87750</v>
      </c>
      <c r="S144" s="82">
        <f t="shared" si="17"/>
        <v>0</v>
      </c>
      <c r="T144" s="82">
        <f t="shared" si="18"/>
        <v>433.33333333333576</v>
      </c>
      <c r="U144" s="82">
        <f t="shared" si="19"/>
        <v>0</v>
      </c>
      <c r="V144" s="83">
        <f>IF(COUNTIFS(Roster!$B$5:$B$1504,$A144,Roster!$G$5:$G$1504,"&gt;0")=0,0,SUMIFS(Roster!$H$5:$H$1504,Roster!$B$5:$B$1504,$A144,Roster!$G$5:$G$1504,_xlfn.MAXIFS(Roster!$G$5:$G$1504,Roster!$B$5:$B$1504,$A144)))</f>
        <v>0</v>
      </c>
      <c r="W144" s="101" t="str">
        <f t="shared" si="20"/>
        <v>Filled</v>
      </c>
    </row>
    <row r="145" spans="1:23" x14ac:dyDescent="0.25">
      <c r="A145" s="76" t="s">
        <v>547</v>
      </c>
      <c r="B145" s="76" t="s">
        <v>362</v>
      </c>
      <c r="C145" s="76" t="s">
        <v>520</v>
      </c>
      <c r="D145" s="97">
        <v>2</v>
      </c>
      <c r="E145" s="98" t="s">
        <v>325</v>
      </c>
      <c r="F145" s="78">
        <v>75500</v>
      </c>
      <c r="G145" s="97">
        <v>2</v>
      </c>
      <c r="H145" s="98" t="s">
        <v>399</v>
      </c>
      <c r="J145" s="99">
        <f>1+Assumptions!$B$11+INDEX(Assumptions!$B$12:$B$15,D145)*Assumptions!$B$16</f>
        <v>1.35</v>
      </c>
      <c r="K145" s="82">
        <f t="shared" si="14"/>
        <v>101925</v>
      </c>
      <c r="L145" s="100">
        <f>IF(E145="Yes",MAX(0,Assumptions!$B$8-G145+1),0)</f>
        <v>7</v>
      </c>
      <c r="M145" s="82">
        <f t="shared" si="15"/>
        <v>59456.25</v>
      </c>
      <c r="N145" s="100">
        <f>MIN(1,SUMIFS(Roster!$N$5:$N$1504,Roster!$B$5:$B$1504,$A145))</f>
        <v>1</v>
      </c>
      <c r="O145" s="100">
        <f>SUMIFS(Roster!$L$5:$L$1504,Roster!$B$5:$B$1504,$A145)</f>
        <v>7</v>
      </c>
      <c r="P145" s="83">
        <f>SUMIFS(Roster!$M$5:$M$1504,Roster!$B$5:$B$1504,$A145)*J145</f>
        <v>59850.000000000007</v>
      </c>
      <c r="Q145" s="83">
        <f>SUMIFS(Roster!$O$5:$O$1504,Roster!$B$5:$B$1504,$A145)*J145</f>
        <v>102600</v>
      </c>
      <c r="R145" s="82">
        <f t="shared" si="16"/>
        <v>102600</v>
      </c>
      <c r="S145" s="82">
        <f t="shared" si="17"/>
        <v>0</v>
      </c>
      <c r="T145" s="82">
        <f t="shared" si="18"/>
        <v>-393.75000000000728</v>
      </c>
      <c r="U145" s="82">
        <f t="shared" si="19"/>
        <v>0</v>
      </c>
      <c r="V145" s="83">
        <f>IF(COUNTIFS(Roster!$B$5:$B$1504,$A145,Roster!$G$5:$G$1504,"&gt;0")=0,0,SUMIFS(Roster!$H$5:$H$1504,Roster!$B$5:$B$1504,$A145,Roster!$G$5:$G$1504,_xlfn.MAXIFS(Roster!$G$5:$G$1504,Roster!$B$5:$B$1504,$A145)))</f>
        <v>0</v>
      </c>
      <c r="W145" s="101" t="str">
        <f t="shared" si="20"/>
        <v>Filled</v>
      </c>
    </row>
    <row r="146" spans="1:23" x14ac:dyDescent="0.25">
      <c r="A146" s="76" t="s">
        <v>548</v>
      </c>
      <c r="B146" s="76" t="s">
        <v>362</v>
      </c>
      <c r="C146" s="76" t="s">
        <v>522</v>
      </c>
      <c r="D146" s="97">
        <v>1</v>
      </c>
      <c r="E146" s="98" t="s">
        <v>325</v>
      </c>
      <c r="F146" s="78">
        <v>69000</v>
      </c>
      <c r="G146" s="97">
        <v>5</v>
      </c>
      <c r="H146" s="98" t="s">
        <v>399</v>
      </c>
      <c r="J146" s="99">
        <f>1+Assumptions!$B$11+INDEX(Assumptions!$B$12:$B$15,D146)*Assumptions!$B$16</f>
        <v>1.3</v>
      </c>
      <c r="K146" s="82">
        <f t="shared" si="14"/>
        <v>89700</v>
      </c>
      <c r="L146" s="100">
        <f>IF(E146="Yes",MAX(0,Assumptions!$B$8-G146+1),0)</f>
        <v>4</v>
      </c>
      <c r="M146" s="82">
        <f t="shared" si="15"/>
        <v>29900</v>
      </c>
      <c r="N146" s="100">
        <f>MIN(1,SUMIFS(Roster!$N$5:$N$1504,Roster!$B$5:$B$1504,$A146))</f>
        <v>1</v>
      </c>
      <c r="O146" s="100">
        <f>SUMIFS(Roster!$L$5:$L$1504,Roster!$B$5:$B$1504,$A146)</f>
        <v>2</v>
      </c>
      <c r="P146" s="83">
        <f>SUMIFS(Roster!$M$5:$M$1504,Roster!$B$5:$B$1504,$A146)*J146</f>
        <v>14841.666666666666</v>
      </c>
      <c r="Q146" s="83">
        <f>SUMIFS(Roster!$O$5:$O$1504,Roster!$B$5:$B$1504,$A146)*J146</f>
        <v>89050</v>
      </c>
      <c r="R146" s="82">
        <f t="shared" si="16"/>
        <v>89050</v>
      </c>
      <c r="S146" s="82">
        <f t="shared" si="17"/>
        <v>14950</v>
      </c>
      <c r="T146" s="82">
        <f t="shared" si="18"/>
        <v>108.33333333333394</v>
      </c>
      <c r="U146" s="82">
        <f t="shared" si="19"/>
        <v>0</v>
      </c>
      <c r="V146" s="83">
        <f>IF(COUNTIFS(Roster!$B$5:$B$1504,$A146,Roster!$G$5:$G$1504,"&gt;0")=0,0,SUMIFS(Roster!$H$5:$H$1504,Roster!$B$5:$B$1504,$A146,Roster!$G$5:$G$1504,_xlfn.MAXIFS(Roster!$G$5:$G$1504,Roster!$B$5:$B$1504,$A146)))</f>
        <v>0</v>
      </c>
      <c r="W146" s="101" t="str">
        <f t="shared" si="20"/>
        <v>Filled</v>
      </c>
    </row>
    <row r="147" spans="1:23" x14ac:dyDescent="0.25">
      <c r="A147" s="76" t="s">
        <v>549</v>
      </c>
      <c r="B147" s="76" t="s">
        <v>362</v>
      </c>
      <c r="C147" s="76" t="s">
        <v>522</v>
      </c>
      <c r="D147" s="97">
        <v>1</v>
      </c>
      <c r="E147" s="98" t="s">
        <v>517</v>
      </c>
      <c r="F147" s="78">
        <v>0</v>
      </c>
      <c r="G147" s="102"/>
      <c r="H147" s="98" t="s">
        <v>399</v>
      </c>
      <c r="J147" s="99">
        <f>1+Assumptions!$B$11+INDEX(Assumptions!$B$12:$B$15,D147)*Assumptions!$B$16</f>
        <v>1.3</v>
      </c>
      <c r="K147" s="82">
        <f t="shared" si="14"/>
        <v>0</v>
      </c>
      <c r="L147" s="100">
        <f>IF(E147="Yes",MAX(0,Assumptions!$B$8-G147+1),0)</f>
        <v>0</v>
      </c>
      <c r="M147" s="82">
        <f t="shared" si="15"/>
        <v>0</v>
      </c>
      <c r="N147" s="100">
        <f>MIN(1,SUMIFS(Roster!$N$5:$N$1504,Roster!$B$5:$B$1504,$A147))</f>
        <v>1</v>
      </c>
      <c r="O147" s="100">
        <f>SUMIFS(Roster!$L$5:$L$1504,Roster!$B$5:$B$1504,$A147)</f>
        <v>2</v>
      </c>
      <c r="P147" s="83">
        <f>SUMIFS(Roster!$M$5:$M$1504,Roster!$B$5:$B$1504,$A147)*J147</f>
        <v>13758.333333333334</v>
      </c>
      <c r="Q147" s="83">
        <f>SUMIFS(Roster!$O$5:$O$1504,Roster!$B$5:$B$1504,$A147)*J147</f>
        <v>82550</v>
      </c>
      <c r="R147" s="82">
        <f t="shared" si="16"/>
        <v>82550</v>
      </c>
      <c r="S147" s="82">
        <f t="shared" si="17"/>
        <v>0</v>
      </c>
      <c r="T147" s="82">
        <f t="shared" si="18"/>
        <v>0</v>
      </c>
      <c r="U147" s="82">
        <f t="shared" si="19"/>
        <v>-13758.333333333334</v>
      </c>
      <c r="V147" s="83">
        <f>IF(COUNTIFS(Roster!$B$5:$B$1504,$A147,Roster!$G$5:$G$1504,"&gt;0")=0,0,SUMIFS(Roster!$H$5:$H$1504,Roster!$B$5:$B$1504,$A147,Roster!$G$5:$G$1504,_xlfn.MAXIFS(Roster!$G$5:$G$1504,Roster!$B$5:$B$1504,$A147)))</f>
        <v>0</v>
      </c>
      <c r="W147" s="101" t="str">
        <f t="shared" si="20"/>
        <v>Unbudgeted hire</v>
      </c>
    </row>
    <row r="148" spans="1:23" x14ac:dyDescent="0.25">
      <c r="A148" s="76" t="s">
        <v>550</v>
      </c>
      <c r="B148" s="76" t="s">
        <v>360</v>
      </c>
      <c r="C148" s="76" t="s">
        <v>551</v>
      </c>
      <c r="D148" s="97">
        <v>3</v>
      </c>
      <c r="E148" s="98" t="s">
        <v>325</v>
      </c>
      <c r="F148" s="78">
        <v>134500</v>
      </c>
      <c r="G148" s="97">
        <v>1</v>
      </c>
      <c r="H148" s="98" t="s">
        <v>399</v>
      </c>
      <c r="J148" s="99">
        <f>1+Assumptions!$B$11+INDEX(Assumptions!$B$12:$B$15,D148)*Assumptions!$B$16</f>
        <v>1.4</v>
      </c>
      <c r="K148" s="82">
        <f t="shared" si="14"/>
        <v>188300</v>
      </c>
      <c r="L148" s="100">
        <f>IF(E148="Yes",MAX(0,Assumptions!$B$8-G148+1),0)</f>
        <v>8</v>
      </c>
      <c r="M148" s="82">
        <f t="shared" si="15"/>
        <v>125533.33333333333</v>
      </c>
      <c r="N148" s="100">
        <f>MIN(1,SUMIFS(Roster!$N$5:$N$1504,Roster!$B$5:$B$1504,$A148))</f>
        <v>1</v>
      </c>
      <c r="O148" s="100">
        <f>SUMIFS(Roster!$L$5:$L$1504,Roster!$B$5:$B$1504,$A148)</f>
        <v>8</v>
      </c>
      <c r="P148" s="83">
        <f>SUMIFS(Roster!$M$5:$M$1504,Roster!$B$5:$B$1504,$A148)*J148</f>
        <v>126373.33333333333</v>
      </c>
      <c r="Q148" s="83">
        <f>SUMIFS(Roster!$O$5:$O$1504,Roster!$B$5:$B$1504,$A148)*J148</f>
        <v>189560</v>
      </c>
      <c r="R148" s="82">
        <f t="shared" si="16"/>
        <v>189560</v>
      </c>
      <c r="S148" s="82">
        <f t="shared" si="17"/>
        <v>0</v>
      </c>
      <c r="T148" s="82">
        <f t="shared" si="18"/>
        <v>-840</v>
      </c>
      <c r="U148" s="82">
        <f t="shared" si="19"/>
        <v>0</v>
      </c>
      <c r="V148" s="83">
        <f>IF(COUNTIFS(Roster!$B$5:$B$1504,$A148,Roster!$G$5:$G$1504,"&gt;0")=0,0,SUMIFS(Roster!$H$5:$H$1504,Roster!$B$5:$B$1504,$A148,Roster!$G$5:$G$1504,_xlfn.MAXIFS(Roster!$G$5:$G$1504,Roster!$B$5:$B$1504,$A148)))</f>
        <v>0</v>
      </c>
      <c r="W148" s="101" t="str">
        <f t="shared" si="20"/>
        <v>Filled</v>
      </c>
    </row>
    <row r="149" spans="1:23" x14ac:dyDescent="0.25">
      <c r="A149" s="76" t="s">
        <v>552</v>
      </c>
      <c r="B149" s="76" t="s">
        <v>360</v>
      </c>
      <c r="C149" s="76" t="s">
        <v>553</v>
      </c>
      <c r="D149" s="97">
        <v>2</v>
      </c>
      <c r="E149" s="98" t="s">
        <v>325</v>
      </c>
      <c r="F149" s="78">
        <v>96500</v>
      </c>
      <c r="G149" s="97">
        <v>1</v>
      </c>
      <c r="H149" s="98" t="s">
        <v>399</v>
      </c>
      <c r="J149" s="99">
        <f>1+Assumptions!$B$11+INDEX(Assumptions!$B$12:$B$15,D149)*Assumptions!$B$16</f>
        <v>1.35</v>
      </c>
      <c r="K149" s="82">
        <f t="shared" si="14"/>
        <v>130275.00000000001</v>
      </c>
      <c r="L149" s="100">
        <f>IF(E149="Yes",MAX(0,Assumptions!$B$8-G149+1),0)</f>
        <v>8</v>
      </c>
      <c r="M149" s="82">
        <f t="shared" si="15"/>
        <v>86850.000000000015</v>
      </c>
      <c r="N149" s="100">
        <f>MIN(1,SUMIFS(Roster!$N$5:$N$1504,Roster!$B$5:$B$1504,$A149))</f>
        <v>1</v>
      </c>
      <c r="O149" s="100">
        <f>SUMIFS(Roster!$L$5:$L$1504,Roster!$B$5:$B$1504,$A149)</f>
        <v>8</v>
      </c>
      <c r="P149" s="83">
        <f>SUMIFS(Roster!$M$5:$M$1504,Roster!$B$5:$B$1504,$A149)*J149</f>
        <v>88020</v>
      </c>
      <c r="Q149" s="83">
        <f>SUMIFS(Roster!$O$5:$O$1504,Roster!$B$5:$B$1504,$A149)*J149</f>
        <v>132030</v>
      </c>
      <c r="R149" s="82">
        <f t="shared" si="16"/>
        <v>132030</v>
      </c>
      <c r="S149" s="82">
        <f t="shared" si="17"/>
        <v>0</v>
      </c>
      <c r="T149" s="82">
        <f t="shared" si="18"/>
        <v>-1169.9999999999854</v>
      </c>
      <c r="U149" s="82">
        <f t="shared" si="19"/>
        <v>0</v>
      </c>
      <c r="V149" s="83">
        <f>IF(COUNTIFS(Roster!$B$5:$B$1504,$A149,Roster!$G$5:$G$1504,"&gt;0")=0,0,SUMIFS(Roster!$H$5:$H$1504,Roster!$B$5:$B$1504,$A149,Roster!$G$5:$G$1504,_xlfn.MAXIFS(Roster!$G$5:$G$1504,Roster!$B$5:$B$1504,$A149)))</f>
        <v>0</v>
      </c>
      <c r="W149" s="101" t="str">
        <f t="shared" si="20"/>
        <v>Filled</v>
      </c>
    </row>
    <row r="150" spans="1:23" x14ac:dyDescent="0.25">
      <c r="A150" s="76" t="s">
        <v>554</v>
      </c>
      <c r="B150" s="76" t="s">
        <v>360</v>
      </c>
      <c r="C150" s="76" t="s">
        <v>553</v>
      </c>
      <c r="D150" s="97">
        <v>2</v>
      </c>
      <c r="E150" s="98" t="s">
        <v>325</v>
      </c>
      <c r="F150" s="78">
        <v>99500</v>
      </c>
      <c r="G150" s="97">
        <v>1</v>
      </c>
      <c r="H150" s="98" t="s">
        <v>399</v>
      </c>
      <c r="J150" s="99">
        <f>1+Assumptions!$B$11+INDEX(Assumptions!$B$12:$B$15,D150)*Assumptions!$B$16</f>
        <v>1.35</v>
      </c>
      <c r="K150" s="82">
        <f t="shared" si="14"/>
        <v>134325</v>
      </c>
      <c r="L150" s="100">
        <f>IF(E150="Yes",MAX(0,Assumptions!$B$8-G150+1),0)</f>
        <v>8</v>
      </c>
      <c r="M150" s="82">
        <f t="shared" si="15"/>
        <v>89550</v>
      </c>
      <c r="N150" s="100">
        <f>MIN(1,SUMIFS(Roster!$N$5:$N$1504,Roster!$B$5:$B$1504,$A150))</f>
        <v>1</v>
      </c>
      <c r="O150" s="100">
        <f>SUMIFS(Roster!$L$5:$L$1504,Roster!$B$5:$B$1504,$A150)</f>
        <v>8</v>
      </c>
      <c r="P150" s="83">
        <f>SUMIFS(Roster!$M$5:$M$1504,Roster!$B$5:$B$1504,$A150)*J150</f>
        <v>90720</v>
      </c>
      <c r="Q150" s="83">
        <f>SUMIFS(Roster!$O$5:$O$1504,Roster!$B$5:$B$1504,$A150)*J150</f>
        <v>136080</v>
      </c>
      <c r="R150" s="82">
        <f t="shared" si="16"/>
        <v>136080</v>
      </c>
      <c r="S150" s="82">
        <f t="shared" si="17"/>
        <v>0</v>
      </c>
      <c r="T150" s="82">
        <f t="shared" si="18"/>
        <v>-1170</v>
      </c>
      <c r="U150" s="82">
        <f t="shared" si="19"/>
        <v>0</v>
      </c>
      <c r="V150" s="83">
        <f>IF(COUNTIFS(Roster!$B$5:$B$1504,$A150,Roster!$G$5:$G$1504,"&gt;0")=0,0,SUMIFS(Roster!$H$5:$H$1504,Roster!$B$5:$B$1504,$A150,Roster!$G$5:$G$1504,_xlfn.MAXIFS(Roster!$G$5:$G$1504,Roster!$B$5:$B$1504,$A150)))</f>
        <v>0</v>
      </c>
      <c r="W150" s="101" t="str">
        <f t="shared" si="20"/>
        <v>Filled</v>
      </c>
    </row>
    <row r="151" spans="1:23" x14ac:dyDescent="0.25">
      <c r="A151" s="76" t="s">
        <v>555</v>
      </c>
      <c r="B151" s="76" t="s">
        <v>360</v>
      </c>
      <c r="C151" s="76" t="s">
        <v>551</v>
      </c>
      <c r="D151" s="97">
        <v>3</v>
      </c>
      <c r="E151" s="98" t="s">
        <v>325</v>
      </c>
      <c r="F151" s="78">
        <v>138500</v>
      </c>
      <c r="G151" s="97">
        <v>1</v>
      </c>
      <c r="H151" s="98" t="s">
        <v>399</v>
      </c>
      <c r="J151" s="99">
        <f>1+Assumptions!$B$11+INDEX(Assumptions!$B$12:$B$15,D151)*Assumptions!$B$16</f>
        <v>1.4</v>
      </c>
      <c r="K151" s="82">
        <f t="shared" si="14"/>
        <v>193900</v>
      </c>
      <c r="L151" s="100">
        <f>IF(E151="Yes",MAX(0,Assumptions!$B$8-G151+1),0)</f>
        <v>8</v>
      </c>
      <c r="M151" s="82">
        <f t="shared" si="15"/>
        <v>129266.66666666667</v>
      </c>
      <c r="N151" s="100">
        <f>MIN(1,SUMIFS(Roster!$N$5:$N$1504,Roster!$B$5:$B$1504,$A151))</f>
        <v>1</v>
      </c>
      <c r="O151" s="100">
        <f>SUMIFS(Roster!$L$5:$L$1504,Roster!$B$5:$B$1504,$A151)</f>
        <v>8</v>
      </c>
      <c r="P151" s="83">
        <f>SUMIFS(Roster!$M$5:$M$1504,Roster!$B$5:$B$1504,$A151)*J151</f>
        <v>130946.66666666666</v>
      </c>
      <c r="Q151" s="83">
        <f>SUMIFS(Roster!$O$5:$O$1504,Roster!$B$5:$B$1504,$A151)*J151</f>
        <v>196420</v>
      </c>
      <c r="R151" s="82">
        <f t="shared" si="16"/>
        <v>196420</v>
      </c>
      <c r="S151" s="82">
        <f t="shared" si="17"/>
        <v>0</v>
      </c>
      <c r="T151" s="82">
        <f t="shared" si="18"/>
        <v>-1679.9999999999854</v>
      </c>
      <c r="U151" s="82">
        <f t="shared" si="19"/>
        <v>0</v>
      </c>
      <c r="V151" s="83">
        <f>IF(COUNTIFS(Roster!$B$5:$B$1504,$A151,Roster!$G$5:$G$1504,"&gt;0")=0,0,SUMIFS(Roster!$H$5:$H$1504,Roster!$B$5:$B$1504,$A151,Roster!$G$5:$G$1504,_xlfn.MAXIFS(Roster!$G$5:$G$1504,Roster!$B$5:$B$1504,$A151)))</f>
        <v>0</v>
      </c>
      <c r="W151" s="101" t="str">
        <f t="shared" si="20"/>
        <v>Filled</v>
      </c>
    </row>
    <row r="152" spans="1:23" x14ac:dyDescent="0.25">
      <c r="A152" s="76" t="s">
        <v>556</v>
      </c>
      <c r="B152" s="76" t="s">
        <v>360</v>
      </c>
      <c r="C152" s="76" t="s">
        <v>553</v>
      </c>
      <c r="D152" s="97">
        <v>2</v>
      </c>
      <c r="E152" s="98" t="s">
        <v>325</v>
      </c>
      <c r="F152" s="78">
        <v>101500</v>
      </c>
      <c r="G152" s="97">
        <v>1</v>
      </c>
      <c r="H152" s="98" t="s">
        <v>399</v>
      </c>
      <c r="J152" s="99">
        <f>1+Assumptions!$B$11+INDEX(Assumptions!$B$12:$B$15,D152)*Assumptions!$B$16</f>
        <v>1.35</v>
      </c>
      <c r="K152" s="82">
        <f t="shared" si="14"/>
        <v>137025</v>
      </c>
      <c r="L152" s="100">
        <f>IF(E152="Yes",MAX(0,Assumptions!$B$8-G152+1),0)</f>
        <v>8</v>
      </c>
      <c r="M152" s="82">
        <f t="shared" si="15"/>
        <v>91350</v>
      </c>
      <c r="N152" s="100">
        <f>MIN(1,SUMIFS(Roster!$N$5:$N$1504,Roster!$B$5:$B$1504,$A152))</f>
        <v>1</v>
      </c>
      <c r="O152" s="100">
        <f>SUMIFS(Roster!$L$5:$L$1504,Roster!$B$5:$B$1504,$A152)</f>
        <v>8</v>
      </c>
      <c r="P152" s="83">
        <f>SUMIFS(Roster!$M$5:$M$1504,Roster!$B$5:$B$1504,$A152)*J152</f>
        <v>91350.000000000015</v>
      </c>
      <c r="Q152" s="83">
        <f>SUMIFS(Roster!$O$5:$O$1504,Roster!$B$5:$B$1504,$A152)*J152</f>
        <v>137025</v>
      </c>
      <c r="R152" s="82">
        <f t="shared" si="16"/>
        <v>137025</v>
      </c>
      <c r="S152" s="82">
        <f t="shared" si="17"/>
        <v>0</v>
      </c>
      <c r="T152" s="82">
        <f t="shared" si="18"/>
        <v>-1.4551915228366852E-11</v>
      </c>
      <c r="U152" s="82">
        <f t="shared" si="19"/>
        <v>0</v>
      </c>
      <c r="V152" s="83">
        <f>IF(COUNTIFS(Roster!$B$5:$B$1504,$A152,Roster!$G$5:$G$1504,"&gt;0")=0,0,SUMIFS(Roster!$H$5:$H$1504,Roster!$B$5:$B$1504,$A152,Roster!$G$5:$G$1504,_xlfn.MAXIFS(Roster!$G$5:$G$1504,Roster!$B$5:$B$1504,$A152)))</f>
        <v>0</v>
      </c>
      <c r="W152" s="101" t="str">
        <f t="shared" si="20"/>
        <v>Filled</v>
      </c>
    </row>
    <row r="153" spans="1:23" x14ac:dyDescent="0.25">
      <c r="A153" s="76" t="s">
        <v>557</v>
      </c>
      <c r="B153" s="76" t="s">
        <v>360</v>
      </c>
      <c r="C153" s="76" t="s">
        <v>551</v>
      </c>
      <c r="D153" s="97">
        <v>3</v>
      </c>
      <c r="E153" s="98" t="s">
        <v>325</v>
      </c>
      <c r="F153" s="78">
        <v>113500</v>
      </c>
      <c r="G153" s="97">
        <v>1</v>
      </c>
      <c r="H153" s="98" t="s">
        <v>399</v>
      </c>
      <c r="J153" s="99">
        <f>1+Assumptions!$B$11+INDEX(Assumptions!$B$12:$B$15,D153)*Assumptions!$B$16</f>
        <v>1.4</v>
      </c>
      <c r="K153" s="82">
        <f t="shared" si="14"/>
        <v>158900</v>
      </c>
      <c r="L153" s="100">
        <f>IF(E153="Yes",MAX(0,Assumptions!$B$8-G153+1),0)</f>
        <v>8</v>
      </c>
      <c r="M153" s="82">
        <f t="shared" si="15"/>
        <v>105933.33333333333</v>
      </c>
      <c r="N153" s="100">
        <f>MIN(1,SUMIFS(Roster!$N$5:$N$1504,Roster!$B$5:$B$1504,$A153))</f>
        <v>1</v>
      </c>
      <c r="O153" s="100">
        <f>SUMIFS(Roster!$L$5:$L$1504,Roster!$B$5:$B$1504,$A153)</f>
        <v>8</v>
      </c>
      <c r="P153" s="83">
        <f>SUMIFS(Roster!$M$5:$M$1504,Roster!$B$5:$B$1504,$A153)*J153</f>
        <v>107053.33333333333</v>
      </c>
      <c r="Q153" s="83">
        <f>SUMIFS(Roster!$O$5:$O$1504,Roster!$B$5:$B$1504,$A153)*J153</f>
        <v>160580</v>
      </c>
      <c r="R153" s="82">
        <f t="shared" si="16"/>
        <v>160580</v>
      </c>
      <c r="S153" s="82">
        <f t="shared" si="17"/>
        <v>0</v>
      </c>
      <c r="T153" s="82">
        <f t="shared" si="18"/>
        <v>-1120</v>
      </c>
      <c r="U153" s="82">
        <f t="shared" si="19"/>
        <v>0</v>
      </c>
      <c r="V153" s="83">
        <f>IF(COUNTIFS(Roster!$B$5:$B$1504,$A153,Roster!$G$5:$G$1504,"&gt;0")=0,0,SUMIFS(Roster!$H$5:$H$1504,Roster!$B$5:$B$1504,$A153,Roster!$G$5:$G$1504,_xlfn.MAXIFS(Roster!$G$5:$G$1504,Roster!$B$5:$B$1504,$A153)))</f>
        <v>0</v>
      </c>
      <c r="W153" s="101" t="str">
        <f t="shared" si="20"/>
        <v>Filled</v>
      </c>
    </row>
    <row r="154" spans="1:23" x14ac:dyDescent="0.25">
      <c r="A154" s="76" t="s">
        <v>558</v>
      </c>
      <c r="B154" s="76" t="s">
        <v>360</v>
      </c>
      <c r="C154" s="76" t="s">
        <v>551</v>
      </c>
      <c r="D154" s="97">
        <v>3</v>
      </c>
      <c r="E154" s="98" t="s">
        <v>325</v>
      </c>
      <c r="F154" s="78">
        <v>119000</v>
      </c>
      <c r="G154" s="97">
        <v>1</v>
      </c>
      <c r="H154" s="98" t="s">
        <v>399</v>
      </c>
      <c r="J154" s="99">
        <f>1+Assumptions!$B$11+INDEX(Assumptions!$B$12:$B$15,D154)*Assumptions!$B$16</f>
        <v>1.4</v>
      </c>
      <c r="K154" s="82">
        <f t="shared" si="14"/>
        <v>166600</v>
      </c>
      <c r="L154" s="100">
        <f>IF(E154="Yes",MAX(0,Assumptions!$B$8-G154+1),0)</f>
        <v>8</v>
      </c>
      <c r="M154" s="82">
        <f t="shared" si="15"/>
        <v>111066.66666666667</v>
      </c>
      <c r="N154" s="100">
        <f>MIN(1,SUMIFS(Roster!$N$5:$N$1504,Roster!$B$5:$B$1504,$A154))</f>
        <v>1</v>
      </c>
      <c r="O154" s="100">
        <f>SUMIFS(Roster!$L$5:$L$1504,Roster!$B$5:$B$1504,$A154)</f>
        <v>8</v>
      </c>
      <c r="P154" s="83">
        <f>SUMIFS(Roster!$M$5:$M$1504,Roster!$B$5:$B$1504,$A154)*J154</f>
        <v>112746.66666666666</v>
      </c>
      <c r="Q154" s="83">
        <f>SUMIFS(Roster!$O$5:$O$1504,Roster!$B$5:$B$1504,$A154)*J154</f>
        <v>169120</v>
      </c>
      <c r="R154" s="82">
        <f t="shared" si="16"/>
        <v>169120</v>
      </c>
      <c r="S154" s="82">
        <f t="shared" si="17"/>
        <v>0</v>
      </c>
      <c r="T154" s="82">
        <f t="shared" si="18"/>
        <v>-1679.9999999999854</v>
      </c>
      <c r="U154" s="82">
        <f t="shared" si="19"/>
        <v>0</v>
      </c>
      <c r="V154" s="83">
        <f>IF(COUNTIFS(Roster!$B$5:$B$1504,$A154,Roster!$G$5:$G$1504,"&gt;0")=0,0,SUMIFS(Roster!$H$5:$H$1504,Roster!$B$5:$B$1504,$A154,Roster!$G$5:$G$1504,_xlfn.MAXIFS(Roster!$G$5:$G$1504,Roster!$B$5:$B$1504,$A154)))</f>
        <v>0</v>
      </c>
      <c r="W154" s="101" t="str">
        <f t="shared" si="20"/>
        <v>Filled</v>
      </c>
    </row>
    <row r="155" spans="1:23" x14ac:dyDescent="0.25">
      <c r="A155" s="76" t="s">
        <v>559</v>
      </c>
      <c r="B155" s="76" t="s">
        <v>360</v>
      </c>
      <c r="C155" s="76" t="s">
        <v>551</v>
      </c>
      <c r="D155" s="97">
        <v>3</v>
      </c>
      <c r="E155" s="98" t="s">
        <v>325</v>
      </c>
      <c r="F155" s="78">
        <v>110500</v>
      </c>
      <c r="G155" s="97">
        <v>1</v>
      </c>
      <c r="H155" s="98" t="s">
        <v>399</v>
      </c>
      <c r="J155" s="99">
        <f>1+Assumptions!$B$11+INDEX(Assumptions!$B$12:$B$15,D155)*Assumptions!$B$16</f>
        <v>1.4</v>
      </c>
      <c r="K155" s="82">
        <f t="shared" si="14"/>
        <v>154700</v>
      </c>
      <c r="L155" s="100">
        <f>IF(E155="Yes",MAX(0,Assumptions!$B$8-G155+1),0)</f>
        <v>8</v>
      </c>
      <c r="M155" s="82">
        <f t="shared" si="15"/>
        <v>103133.33333333333</v>
      </c>
      <c r="N155" s="100">
        <f>MIN(1,SUMIFS(Roster!$N$5:$N$1504,Roster!$B$5:$B$1504,$A155))</f>
        <v>1</v>
      </c>
      <c r="O155" s="100">
        <f>SUMIFS(Roster!$L$5:$L$1504,Roster!$B$5:$B$1504,$A155)</f>
        <v>8</v>
      </c>
      <c r="P155" s="83">
        <f>SUMIFS(Roster!$M$5:$M$1504,Roster!$B$5:$B$1504,$A155)*J155</f>
        <v>104066.66666666666</v>
      </c>
      <c r="Q155" s="83">
        <f>SUMIFS(Roster!$O$5:$O$1504,Roster!$B$5:$B$1504,$A155)*J155</f>
        <v>156100</v>
      </c>
      <c r="R155" s="82">
        <f t="shared" si="16"/>
        <v>156100</v>
      </c>
      <c r="S155" s="82">
        <f t="shared" si="17"/>
        <v>0</v>
      </c>
      <c r="T155" s="82">
        <f t="shared" si="18"/>
        <v>-933.33333333332848</v>
      </c>
      <c r="U155" s="82">
        <f t="shared" si="19"/>
        <v>0</v>
      </c>
      <c r="V155" s="83">
        <f>IF(COUNTIFS(Roster!$B$5:$B$1504,$A155,Roster!$G$5:$G$1504,"&gt;0")=0,0,SUMIFS(Roster!$H$5:$H$1504,Roster!$B$5:$B$1504,$A155,Roster!$G$5:$G$1504,_xlfn.MAXIFS(Roster!$G$5:$G$1504,Roster!$B$5:$B$1504,$A155)))</f>
        <v>0</v>
      </c>
      <c r="W155" s="101" t="str">
        <f t="shared" si="20"/>
        <v>Filled</v>
      </c>
    </row>
    <row r="156" spans="1:23" x14ac:dyDescent="0.25">
      <c r="A156" s="76" t="s">
        <v>560</v>
      </c>
      <c r="B156" s="76" t="s">
        <v>360</v>
      </c>
      <c r="C156" s="76" t="s">
        <v>553</v>
      </c>
      <c r="D156" s="97">
        <v>2</v>
      </c>
      <c r="E156" s="98" t="s">
        <v>325</v>
      </c>
      <c r="F156" s="78">
        <v>89500</v>
      </c>
      <c r="G156" s="97">
        <v>1</v>
      </c>
      <c r="H156" s="98" t="s">
        <v>399</v>
      </c>
      <c r="J156" s="99">
        <f>1+Assumptions!$B$11+INDEX(Assumptions!$B$12:$B$15,D156)*Assumptions!$B$16</f>
        <v>1.35</v>
      </c>
      <c r="K156" s="82">
        <f t="shared" si="14"/>
        <v>120825.00000000001</v>
      </c>
      <c r="L156" s="100">
        <f>IF(E156="Yes",MAX(0,Assumptions!$B$8-G156+1),0)</f>
        <v>8</v>
      </c>
      <c r="M156" s="82">
        <f t="shared" si="15"/>
        <v>80550.000000000015</v>
      </c>
      <c r="N156" s="100">
        <f>MIN(1,SUMIFS(Roster!$N$5:$N$1504,Roster!$B$5:$B$1504,$A156))</f>
        <v>1</v>
      </c>
      <c r="O156" s="100">
        <f>SUMIFS(Roster!$L$5:$L$1504,Roster!$B$5:$B$1504,$A156)</f>
        <v>8</v>
      </c>
      <c r="P156" s="83">
        <f>SUMIFS(Roster!$M$5:$M$1504,Roster!$B$5:$B$1504,$A156)*J156</f>
        <v>79560.000000000015</v>
      </c>
      <c r="Q156" s="83">
        <f>SUMIFS(Roster!$O$5:$O$1504,Roster!$B$5:$B$1504,$A156)*J156</f>
        <v>119340.00000000001</v>
      </c>
      <c r="R156" s="82">
        <f t="shared" si="16"/>
        <v>119340.00000000001</v>
      </c>
      <c r="S156" s="82">
        <f t="shared" si="17"/>
        <v>0</v>
      </c>
      <c r="T156" s="82">
        <f t="shared" si="18"/>
        <v>990</v>
      </c>
      <c r="U156" s="82">
        <f t="shared" si="19"/>
        <v>0</v>
      </c>
      <c r="V156" s="83">
        <f>IF(COUNTIFS(Roster!$B$5:$B$1504,$A156,Roster!$G$5:$G$1504,"&gt;0")=0,0,SUMIFS(Roster!$H$5:$H$1504,Roster!$B$5:$B$1504,$A156,Roster!$G$5:$G$1504,_xlfn.MAXIFS(Roster!$G$5:$G$1504,Roster!$B$5:$B$1504,$A156)))</f>
        <v>0</v>
      </c>
      <c r="W156" s="101" t="str">
        <f t="shared" si="20"/>
        <v>Filled</v>
      </c>
    </row>
    <row r="157" spans="1:23" x14ac:dyDescent="0.25">
      <c r="A157" s="76" t="s">
        <v>561</v>
      </c>
      <c r="B157" s="76" t="s">
        <v>360</v>
      </c>
      <c r="C157" s="76" t="s">
        <v>553</v>
      </c>
      <c r="D157" s="97">
        <v>2</v>
      </c>
      <c r="E157" s="98" t="s">
        <v>325</v>
      </c>
      <c r="F157" s="78">
        <v>94000</v>
      </c>
      <c r="G157" s="97">
        <v>1</v>
      </c>
      <c r="H157" s="98" t="s">
        <v>399</v>
      </c>
      <c r="J157" s="99">
        <f>1+Assumptions!$B$11+INDEX(Assumptions!$B$12:$B$15,D157)*Assumptions!$B$16</f>
        <v>1.35</v>
      </c>
      <c r="K157" s="82">
        <f t="shared" si="14"/>
        <v>126900.00000000001</v>
      </c>
      <c r="L157" s="100">
        <f>IF(E157="Yes",MAX(0,Assumptions!$B$8-G157+1),0)</f>
        <v>8</v>
      </c>
      <c r="M157" s="82">
        <f t="shared" si="15"/>
        <v>84600.000000000015</v>
      </c>
      <c r="N157" s="100">
        <f>MIN(1,SUMIFS(Roster!$N$5:$N$1504,Roster!$B$5:$B$1504,$A157))</f>
        <v>1</v>
      </c>
      <c r="O157" s="100">
        <f>SUMIFS(Roster!$L$5:$L$1504,Roster!$B$5:$B$1504,$A157)</f>
        <v>8</v>
      </c>
      <c r="P157" s="83">
        <f>SUMIFS(Roster!$M$5:$M$1504,Roster!$B$5:$B$1504,$A157)*J157</f>
        <v>85590</v>
      </c>
      <c r="Q157" s="83">
        <f>SUMIFS(Roster!$O$5:$O$1504,Roster!$B$5:$B$1504,$A157)*J157</f>
        <v>128385.00000000001</v>
      </c>
      <c r="R157" s="82">
        <f t="shared" si="16"/>
        <v>128385.00000000001</v>
      </c>
      <c r="S157" s="82">
        <f t="shared" si="17"/>
        <v>0</v>
      </c>
      <c r="T157" s="82">
        <f t="shared" si="18"/>
        <v>-989.99999999998545</v>
      </c>
      <c r="U157" s="82">
        <f t="shared" si="19"/>
        <v>0</v>
      </c>
      <c r="V157" s="83">
        <f>IF(COUNTIFS(Roster!$B$5:$B$1504,$A157,Roster!$G$5:$G$1504,"&gt;0")=0,0,SUMIFS(Roster!$H$5:$H$1504,Roster!$B$5:$B$1504,$A157,Roster!$G$5:$G$1504,_xlfn.MAXIFS(Roster!$G$5:$G$1504,Roster!$B$5:$B$1504,$A157)))</f>
        <v>0</v>
      </c>
      <c r="W157" s="101" t="str">
        <f t="shared" si="20"/>
        <v>Filled</v>
      </c>
    </row>
    <row r="158" spans="1:23" x14ac:dyDescent="0.25">
      <c r="A158" s="76" t="s">
        <v>562</v>
      </c>
      <c r="B158" s="76" t="s">
        <v>360</v>
      </c>
      <c r="C158" s="76" t="s">
        <v>553</v>
      </c>
      <c r="D158" s="97">
        <v>2</v>
      </c>
      <c r="E158" s="98" t="s">
        <v>325</v>
      </c>
      <c r="F158" s="78">
        <v>92000</v>
      </c>
      <c r="G158" s="97">
        <v>1</v>
      </c>
      <c r="H158" s="98" t="s">
        <v>399</v>
      </c>
      <c r="J158" s="99">
        <f>1+Assumptions!$B$11+INDEX(Assumptions!$B$12:$B$15,D158)*Assumptions!$B$16</f>
        <v>1.35</v>
      </c>
      <c r="K158" s="82">
        <f t="shared" si="14"/>
        <v>124200.00000000001</v>
      </c>
      <c r="L158" s="100">
        <f>IF(E158="Yes",MAX(0,Assumptions!$B$8-G158+1),0)</f>
        <v>8</v>
      </c>
      <c r="M158" s="82">
        <f t="shared" si="15"/>
        <v>82800.000000000015</v>
      </c>
      <c r="N158" s="100">
        <f>MIN(1,SUMIFS(Roster!$N$5:$N$1504,Roster!$B$5:$B$1504,$A158))</f>
        <v>1</v>
      </c>
      <c r="O158" s="100">
        <f>SUMIFS(Roster!$L$5:$L$1504,Roster!$B$5:$B$1504,$A158)</f>
        <v>8</v>
      </c>
      <c r="P158" s="83">
        <f>SUMIFS(Roster!$M$5:$M$1504,Roster!$B$5:$B$1504,$A158)*J158</f>
        <v>83160</v>
      </c>
      <c r="Q158" s="83">
        <f>SUMIFS(Roster!$O$5:$O$1504,Roster!$B$5:$B$1504,$A158)*J158</f>
        <v>124740.00000000001</v>
      </c>
      <c r="R158" s="82">
        <f t="shared" si="16"/>
        <v>124740.00000000001</v>
      </c>
      <c r="S158" s="82">
        <f t="shared" si="17"/>
        <v>0</v>
      </c>
      <c r="T158" s="82">
        <f t="shared" si="18"/>
        <v>-359.99999999998545</v>
      </c>
      <c r="U158" s="82">
        <f t="shared" si="19"/>
        <v>0</v>
      </c>
      <c r="V158" s="83">
        <f>IF(COUNTIFS(Roster!$B$5:$B$1504,$A158,Roster!$G$5:$G$1504,"&gt;0")=0,0,SUMIFS(Roster!$H$5:$H$1504,Roster!$B$5:$B$1504,$A158,Roster!$G$5:$G$1504,_xlfn.MAXIFS(Roster!$G$5:$G$1504,Roster!$B$5:$B$1504,$A158)))</f>
        <v>0</v>
      </c>
      <c r="W158" s="101" t="str">
        <f t="shared" si="20"/>
        <v>Filled</v>
      </c>
    </row>
    <row r="159" spans="1:23" x14ac:dyDescent="0.25">
      <c r="A159" s="76" t="s">
        <v>563</v>
      </c>
      <c r="B159" s="76" t="s">
        <v>360</v>
      </c>
      <c r="C159" s="76" t="s">
        <v>553</v>
      </c>
      <c r="D159" s="97">
        <v>2</v>
      </c>
      <c r="E159" s="98" t="s">
        <v>325</v>
      </c>
      <c r="F159" s="78">
        <v>93500</v>
      </c>
      <c r="G159" s="97">
        <v>1</v>
      </c>
      <c r="H159" s="98" t="s">
        <v>399</v>
      </c>
      <c r="J159" s="99">
        <f>1+Assumptions!$B$11+INDEX(Assumptions!$B$12:$B$15,D159)*Assumptions!$B$16</f>
        <v>1.35</v>
      </c>
      <c r="K159" s="82">
        <f t="shared" si="14"/>
        <v>126225.00000000001</v>
      </c>
      <c r="L159" s="100">
        <f>IF(E159="Yes",MAX(0,Assumptions!$B$8-G159+1),0)</f>
        <v>8</v>
      </c>
      <c r="M159" s="82">
        <f t="shared" si="15"/>
        <v>84150.000000000015</v>
      </c>
      <c r="N159" s="100">
        <f>MIN(1,SUMIFS(Roster!$N$5:$N$1504,Roster!$B$5:$B$1504,$A159))</f>
        <v>1</v>
      </c>
      <c r="O159" s="100">
        <f>SUMIFS(Roster!$L$5:$L$1504,Roster!$B$5:$B$1504,$A159)</f>
        <v>8</v>
      </c>
      <c r="P159" s="83">
        <f>SUMIFS(Roster!$M$5:$M$1504,Roster!$B$5:$B$1504,$A159)*J159</f>
        <v>83970</v>
      </c>
      <c r="Q159" s="83">
        <f>SUMIFS(Roster!$O$5:$O$1504,Roster!$B$5:$B$1504,$A159)*J159</f>
        <v>125955.00000000001</v>
      </c>
      <c r="R159" s="82">
        <f t="shared" si="16"/>
        <v>125955.00000000001</v>
      </c>
      <c r="S159" s="82">
        <f t="shared" si="17"/>
        <v>0</v>
      </c>
      <c r="T159" s="82">
        <f t="shared" si="18"/>
        <v>180.00000000001455</v>
      </c>
      <c r="U159" s="82">
        <f t="shared" si="19"/>
        <v>0</v>
      </c>
      <c r="V159" s="83">
        <f>IF(COUNTIFS(Roster!$B$5:$B$1504,$A159,Roster!$G$5:$G$1504,"&gt;0")=0,0,SUMIFS(Roster!$H$5:$H$1504,Roster!$B$5:$B$1504,$A159,Roster!$G$5:$G$1504,_xlfn.MAXIFS(Roster!$G$5:$G$1504,Roster!$B$5:$B$1504,$A159)))</f>
        <v>0</v>
      </c>
      <c r="W159" s="101" t="str">
        <f t="shared" si="20"/>
        <v>Filled</v>
      </c>
    </row>
    <row r="160" spans="1:23" x14ac:dyDescent="0.25">
      <c r="A160" s="76" t="s">
        <v>564</v>
      </c>
      <c r="B160" s="76" t="s">
        <v>360</v>
      </c>
      <c r="C160" s="76" t="s">
        <v>553</v>
      </c>
      <c r="D160" s="97">
        <v>2</v>
      </c>
      <c r="E160" s="98" t="s">
        <v>325</v>
      </c>
      <c r="F160" s="78">
        <v>92000</v>
      </c>
      <c r="G160" s="97">
        <v>1</v>
      </c>
      <c r="H160" s="98" t="s">
        <v>399</v>
      </c>
      <c r="J160" s="99">
        <f>1+Assumptions!$B$11+INDEX(Assumptions!$B$12:$B$15,D160)*Assumptions!$B$16</f>
        <v>1.35</v>
      </c>
      <c r="K160" s="82">
        <f t="shared" si="14"/>
        <v>124200.00000000001</v>
      </c>
      <c r="L160" s="100">
        <f>IF(E160="Yes",MAX(0,Assumptions!$B$8-G160+1),0)</f>
        <v>8</v>
      </c>
      <c r="M160" s="82">
        <f t="shared" si="15"/>
        <v>82800.000000000015</v>
      </c>
      <c r="N160" s="100">
        <f>MIN(1,SUMIFS(Roster!$N$5:$N$1504,Roster!$B$5:$B$1504,$A160))</f>
        <v>1</v>
      </c>
      <c r="O160" s="100">
        <f>SUMIFS(Roster!$L$5:$L$1504,Roster!$B$5:$B$1504,$A160)</f>
        <v>8</v>
      </c>
      <c r="P160" s="83">
        <f>SUMIFS(Roster!$M$5:$M$1504,Roster!$B$5:$B$1504,$A160)*J160</f>
        <v>83070.000000000015</v>
      </c>
      <c r="Q160" s="83">
        <f>SUMIFS(Roster!$O$5:$O$1504,Roster!$B$5:$B$1504,$A160)*J160</f>
        <v>124605.00000000001</v>
      </c>
      <c r="R160" s="82">
        <f t="shared" si="16"/>
        <v>124605.00000000001</v>
      </c>
      <c r="S160" s="82">
        <f t="shared" si="17"/>
        <v>0</v>
      </c>
      <c r="T160" s="82">
        <f t="shared" si="18"/>
        <v>-270</v>
      </c>
      <c r="U160" s="82">
        <f t="shared" si="19"/>
        <v>0</v>
      </c>
      <c r="V160" s="83">
        <f>IF(COUNTIFS(Roster!$B$5:$B$1504,$A160,Roster!$G$5:$G$1504,"&gt;0")=0,0,SUMIFS(Roster!$H$5:$H$1504,Roster!$B$5:$B$1504,$A160,Roster!$G$5:$G$1504,_xlfn.MAXIFS(Roster!$G$5:$G$1504,Roster!$B$5:$B$1504,$A160)))</f>
        <v>0</v>
      </c>
      <c r="W160" s="101" t="str">
        <f t="shared" si="20"/>
        <v>Filled</v>
      </c>
    </row>
    <row r="161" spans="1:23" x14ac:dyDescent="0.25">
      <c r="A161" s="76" t="s">
        <v>565</v>
      </c>
      <c r="B161" s="76" t="s">
        <v>360</v>
      </c>
      <c r="C161" s="76" t="s">
        <v>566</v>
      </c>
      <c r="D161" s="97">
        <v>4</v>
      </c>
      <c r="E161" s="98" t="s">
        <v>325</v>
      </c>
      <c r="F161" s="78">
        <v>190000</v>
      </c>
      <c r="G161" s="97">
        <v>1</v>
      </c>
      <c r="H161" s="98" t="s">
        <v>399</v>
      </c>
      <c r="J161" s="99">
        <f>1+Assumptions!$B$11+INDEX(Assumptions!$B$12:$B$15,D161)*Assumptions!$B$16</f>
        <v>1.5</v>
      </c>
      <c r="K161" s="82">
        <f t="shared" si="14"/>
        <v>285000</v>
      </c>
      <c r="L161" s="100">
        <f>IF(E161="Yes",MAX(0,Assumptions!$B$8-G161+1),0)</f>
        <v>8</v>
      </c>
      <c r="M161" s="82">
        <f t="shared" si="15"/>
        <v>190000</v>
      </c>
      <c r="N161" s="100">
        <f>MIN(1,SUMIFS(Roster!$N$5:$N$1504,Roster!$B$5:$B$1504,$A161))</f>
        <v>1</v>
      </c>
      <c r="O161" s="100">
        <f>SUMIFS(Roster!$L$5:$L$1504,Roster!$B$5:$B$1504,$A161)</f>
        <v>8</v>
      </c>
      <c r="P161" s="83">
        <f>SUMIFS(Roster!$M$5:$M$1504,Roster!$B$5:$B$1504,$A161)*J161</f>
        <v>188500</v>
      </c>
      <c r="Q161" s="83">
        <f>SUMIFS(Roster!$O$5:$O$1504,Roster!$B$5:$B$1504,$A161)*J161</f>
        <v>282750</v>
      </c>
      <c r="R161" s="82">
        <f t="shared" si="16"/>
        <v>282750</v>
      </c>
      <c r="S161" s="82">
        <f t="shared" si="17"/>
        <v>0</v>
      </c>
      <c r="T161" s="82">
        <f t="shared" si="18"/>
        <v>1500</v>
      </c>
      <c r="U161" s="82">
        <f t="shared" si="19"/>
        <v>0</v>
      </c>
      <c r="V161" s="83">
        <f>IF(COUNTIFS(Roster!$B$5:$B$1504,$A161,Roster!$G$5:$G$1504,"&gt;0")=0,0,SUMIFS(Roster!$H$5:$H$1504,Roster!$B$5:$B$1504,$A161,Roster!$G$5:$G$1504,_xlfn.MAXIFS(Roster!$G$5:$G$1504,Roster!$B$5:$B$1504,$A161)))</f>
        <v>0</v>
      </c>
      <c r="W161" s="101" t="str">
        <f t="shared" si="20"/>
        <v>Filled</v>
      </c>
    </row>
    <row r="162" spans="1:23" x14ac:dyDescent="0.25">
      <c r="A162" s="76" t="s">
        <v>567</v>
      </c>
      <c r="B162" s="76" t="s">
        <v>360</v>
      </c>
      <c r="C162" s="76" t="s">
        <v>551</v>
      </c>
      <c r="D162" s="97">
        <v>3</v>
      </c>
      <c r="E162" s="98" t="s">
        <v>325</v>
      </c>
      <c r="F162" s="78">
        <v>119000</v>
      </c>
      <c r="G162" s="97">
        <v>1</v>
      </c>
      <c r="H162" s="98" t="s">
        <v>399</v>
      </c>
      <c r="J162" s="99">
        <f>1+Assumptions!$B$11+INDEX(Assumptions!$B$12:$B$15,D162)*Assumptions!$B$16</f>
        <v>1.4</v>
      </c>
      <c r="K162" s="82">
        <f t="shared" si="14"/>
        <v>166600</v>
      </c>
      <c r="L162" s="100">
        <f>IF(E162="Yes",MAX(0,Assumptions!$B$8-G162+1),0)</f>
        <v>8</v>
      </c>
      <c r="M162" s="82">
        <f t="shared" si="15"/>
        <v>111066.66666666667</v>
      </c>
      <c r="N162" s="100">
        <f>MIN(1,SUMIFS(Roster!$N$5:$N$1504,Roster!$B$5:$B$1504,$A162))</f>
        <v>1</v>
      </c>
      <c r="O162" s="100">
        <f>SUMIFS(Roster!$L$5:$L$1504,Roster!$B$5:$B$1504,$A162)</f>
        <v>8</v>
      </c>
      <c r="P162" s="83">
        <f>SUMIFS(Roster!$M$5:$M$1504,Roster!$B$5:$B$1504,$A162)*J162</f>
        <v>111440</v>
      </c>
      <c r="Q162" s="83">
        <f>SUMIFS(Roster!$O$5:$O$1504,Roster!$B$5:$B$1504,$A162)*J162</f>
        <v>167160</v>
      </c>
      <c r="R162" s="82">
        <f t="shared" si="16"/>
        <v>167160</v>
      </c>
      <c r="S162" s="82">
        <f t="shared" si="17"/>
        <v>0</v>
      </c>
      <c r="T162" s="82">
        <f t="shared" si="18"/>
        <v>-373.33333333332848</v>
      </c>
      <c r="U162" s="82">
        <f t="shared" si="19"/>
        <v>0</v>
      </c>
      <c r="V162" s="83">
        <f>IF(COUNTIFS(Roster!$B$5:$B$1504,$A162,Roster!$G$5:$G$1504,"&gt;0")=0,0,SUMIFS(Roster!$H$5:$H$1504,Roster!$B$5:$B$1504,$A162,Roster!$G$5:$G$1504,_xlfn.MAXIFS(Roster!$G$5:$G$1504,Roster!$B$5:$B$1504,$A162)))</f>
        <v>0</v>
      </c>
      <c r="W162" s="101" t="str">
        <f t="shared" si="20"/>
        <v>Filled</v>
      </c>
    </row>
    <row r="163" spans="1:23" x14ac:dyDescent="0.25">
      <c r="A163" s="76" t="s">
        <v>568</v>
      </c>
      <c r="B163" s="76" t="s">
        <v>360</v>
      </c>
      <c r="C163" s="76" t="s">
        <v>553</v>
      </c>
      <c r="D163" s="97">
        <v>2</v>
      </c>
      <c r="E163" s="98" t="s">
        <v>325</v>
      </c>
      <c r="F163" s="78">
        <v>90500</v>
      </c>
      <c r="G163" s="97">
        <v>1</v>
      </c>
      <c r="H163" s="98" t="s">
        <v>399</v>
      </c>
      <c r="J163" s="99">
        <f>1+Assumptions!$B$11+INDEX(Assumptions!$B$12:$B$15,D163)*Assumptions!$B$16</f>
        <v>1.35</v>
      </c>
      <c r="K163" s="82">
        <f t="shared" si="14"/>
        <v>122175.00000000001</v>
      </c>
      <c r="L163" s="100">
        <f>IF(E163="Yes",MAX(0,Assumptions!$B$8-G163+1),0)</f>
        <v>8</v>
      </c>
      <c r="M163" s="82">
        <f t="shared" si="15"/>
        <v>81450.000000000015</v>
      </c>
      <c r="N163" s="100">
        <f>MIN(1,SUMIFS(Roster!$N$5:$N$1504,Roster!$B$5:$B$1504,$A163))</f>
        <v>1</v>
      </c>
      <c r="O163" s="100">
        <f>SUMIFS(Roster!$L$5:$L$1504,Roster!$B$5:$B$1504,$A163)</f>
        <v>8</v>
      </c>
      <c r="P163" s="83">
        <f>SUMIFS(Roster!$M$5:$M$1504,Roster!$B$5:$B$1504,$A163)*J163</f>
        <v>80820</v>
      </c>
      <c r="Q163" s="83">
        <f>SUMIFS(Roster!$O$5:$O$1504,Roster!$B$5:$B$1504,$A163)*J163</f>
        <v>121230.00000000001</v>
      </c>
      <c r="R163" s="82">
        <f t="shared" si="16"/>
        <v>121230.00000000001</v>
      </c>
      <c r="S163" s="82">
        <f t="shared" si="17"/>
        <v>0</v>
      </c>
      <c r="T163" s="82">
        <f t="shared" si="18"/>
        <v>630.00000000001455</v>
      </c>
      <c r="U163" s="82">
        <f t="shared" si="19"/>
        <v>0</v>
      </c>
      <c r="V163" s="83">
        <f>IF(COUNTIFS(Roster!$B$5:$B$1504,$A163,Roster!$G$5:$G$1504,"&gt;0")=0,0,SUMIFS(Roster!$H$5:$H$1504,Roster!$B$5:$B$1504,$A163,Roster!$G$5:$G$1504,_xlfn.MAXIFS(Roster!$G$5:$G$1504,Roster!$B$5:$B$1504,$A163)))</f>
        <v>0</v>
      </c>
      <c r="W163" s="101" t="str">
        <f t="shared" si="20"/>
        <v>Filled</v>
      </c>
    </row>
    <row r="164" spans="1:23" x14ac:dyDescent="0.25">
      <c r="A164" s="76" t="s">
        <v>569</v>
      </c>
      <c r="B164" s="76" t="s">
        <v>360</v>
      </c>
      <c r="C164" s="76" t="s">
        <v>553</v>
      </c>
      <c r="D164" s="97">
        <v>2</v>
      </c>
      <c r="E164" s="98" t="s">
        <v>325</v>
      </c>
      <c r="F164" s="78">
        <v>86000</v>
      </c>
      <c r="G164" s="97">
        <v>1</v>
      </c>
      <c r="H164" s="98" t="s">
        <v>399</v>
      </c>
      <c r="J164" s="99">
        <f>1+Assumptions!$B$11+INDEX(Assumptions!$B$12:$B$15,D164)*Assumptions!$B$16</f>
        <v>1.35</v>
      </c>
      <c r="K164" s="82">
        <f t="shared" si="14"/>
        <v>116100.00000000001</v>
      </c>
      <c r="L164" s="100">
        <f>IF(E164="Yes",MAX(0,Assumptions!$B$8-G164+1),0)</f>
        <v>8</v>
      </c>
      <c r="M164" s="82">
        <f t="shared" si="15"/>
        <v>77400.000000000015</v>
      </c>
      <c r="N164" s="100">
        <f>MIN(1,SUMIFS(Roster!$N$5:$N$1504,Roster!$B$5:$B$1504,$A164))</f>
        <v>1</v>
      </c>
      <c r="O164" s="100">
        <f>SUMIFS(Roster!$L$5:$L$1504,Roster!$B$5:$B$1504,$A164)</f>
        <v>8</v>
      </c>
      <c r="P164" s="83">
        <f>SUMIFS(Roster!$M$5:$M$1504,Roster!$B$5:$B$1504,$A164)*J164</f>
        <v>78120</v>
      </c>
      <c r="Q164" s="83">
        <f>SUMIFS(Roster!$O$5:$O$1504,Roster!$B$5:$B$1504,$A164)*J164</f>
        <v>117180.00000000001</v>
      </c>
      <c r="R164" s="82">
        <f t="shared" si="16"/>
        <v>117180.00000000001</v>
      </c>
      <c r="S164" s="82">
        <f t="shared" si="17"/>
        <v>0</v>
      </c>
      <c r="T164" s="82">
        <f t="shared" si="18"/>
        <v>-719.99999999998545</v>
      </c>
      <c r="U164" s="82">
        <f t="shared" si="19"/>
        <v>0</v>
      </c>
      <c r="V164" s="83">
        <f>IF(COUNTIFS(Roster!$B$5:$B$1504,$A164,Roster!$G$5:$G$1504,"&gt;0")=0,0,SUMIFS(Roster!$H$5:$H$1504,Roster!$B$5:$B$1504,$A164,Roster!$G$5:$G$1504,_xlfn.MAXIFS(Roster!$G$5:$G$1504,Roster!$B$5:$B$1504,$A164)))</f>
        <v>0</v>
      </c>
      <c r="W164" s="101" t="str">
        <f t="shared" si="20"/>
        <v>Filled</v>
      </c>
    </row>
    <row r="165" spans="1:23" x14ac:dyDescent="0.25">
      <c r="A165" s="76" t="s">
        <v>570</v>
      </c>
      <c r="B165" s="76" t="s">
        <v>360</v>
      </c>
      <c r="C165" s="76" t="s">
        <v>566</v>
      </c>
      <c r="D165" s="97">
        <v>4</v>
      </c>
      <c r="E165" s="98" t="s">
        <v>325</v>
      </c>
      <c r="F165" s="78">
        <v>156500</v>
      </c>
      <c r="G165" s="97">
        <v>1</v>
      </c>
      <c r="H165" s="98" t="s">
        <v>399</v>
      </c>
      <c r="J165" s="99">
        <f>1+Assumptions!$B$11+INDEX(Assumptions!$B$12:$B$15,D165)*Assumptions!$B$16</f>
        <v>1.5</v>
      </c>
      <c r="K165" s="82">
        <f t="shared" si="14"/>
        <v>234750</v>
      </c>
      <c r="L165" s="100">
        <f>IF(E165="Yes",MAX(0,Assumptions!$B$8-G165+1),0)</f>
        <v>8</v>
      </c>
      <c r="M165" s="82">
        <f t="shared" si="15"/>
        <v>156500</v>
      </c>
      <c r="N165" s="100">
        <f>MIN(1,SUMIFS(Roster!$N$5:$N$1504,Roster!$B$5:$B$1504,$A165))</f>
        <v>1</v>
      </c>
      <c r="O165" s="100">
        <f>SUMIFS(Roster!$L$5:$L$1504,Roster!$B$5:$B$1504,$A165)</f>
        <v>8</v>
      </c>
      <c r="P165" s="83">
        <f>SUMIFS(Roster!$M$5:$M$1504,Roster!$B$5:$B$1504,$A165)*J165</f>
        <v>155600</v>
      </c>
      <c r="Q165" s="83">
        <f>SUMIFS(Roster!$O$5:$O$1504,Roster!$B$5:$B$1504,$A165)*J165</f>
        <v>233400</v>
      </c>
      <c r="R165" s="82">
        <f t="shared" si="16"/>
        <v>233400</v>
      </c>
      <c r="S165" s="82">
        <f t="shared" si="17"/>
        <v>0</v>
      </c>
      <c r="T165" s="82">
        <f t="shared" si="18"/>
        <v>900</v>
      </c>
      <c r="U165" s="82">
        <f t="shared" si="19"/>
        <v>0</v>
      </c>
      <c r="V165" s="83">
        <f>IF(COUNTIFS(Roster!$B$5:$B$1504,$A165,Roster!$G$5:$G$1504,"&gt;0")=0,0,SUMIFS(Roster!$H$5:$H$1504,Roster!$B$5:$B$1504,$A165,Roster!$G$5:$G$1504,_xlfn.MAXIFS(Roster!$G$5:$G$1504,Roster!$B$5:$B$1504,$A165)))</f>
        <v>0</v>
      </c>
      <c r="W165" s="101" t="str">
        <f t="shared" si="20"/>
        <v>Filled</v>
      </c>
    </row>
    <row r="166" spans="1:23" x14ac:dyDescent="0.25">
      <c r="A166" s="76" t="s">
        <v>571</v>
      </c>
      <c r="B166" s="76" t="s">
        <v>360</v>
      </c>
      <c r="C166" s="76" t="s">
        <v>553</v>
      </c>
      <c r="D166" s="97">
        <v>2</v>
      </c>
      <c r="E166" s="98" t="s">
        <v>325</v>
      </c>
      <c r="F166" s="78">
        <v>87500</v>
      </c>
      <c r="G166" s="97">
        <v>1</v>
      </c>
      <c r="H166" s="98" t="s">
        <v>399</v>
      </c>
      <c r="J166" s="99">
        <f>1+Assumptions!$B$11+INDEX(Assumptions!$B$12:$B$15,D166)*Assumptions!$B$16</f>
        <v>1.35</v>
      </c>
      <c r="K166" s="82">
        <f t="shared" si="14"/>
        <v>118125.00000000001</v>
      </c>
      <c r="L166" s="100">
        <f>IF(E166="Yes",MAX(0,Assumptions!$B$8-G166+1),0)</f>
        <v>8</v>
      </c>
      <c r="M166" s="82">
        <f t="shared" si="15"/>
        <v>78750.000000000015</v>
      </c>
      <c r="N166" s="100">
        <f>MIN(1,SUMIFS(Roster!$N$5:$N$1504,Roster!$B$5:$B$1504,$A166))</f>
        <v>1</v>
      </c>
      <c r="O166" s="100">
        <f>SUMIFS(Roster!$L$5:$L$1504,Roster!$B$5:$B$1504,$A166)</f>
        <v>8</v>
      </c>
      <c r="P166" s="83">
        <f>SUMIFS(Roster!$M$5:$M$1504,Roster!$B$5:$B$1504,$A166)*J166</f>
        <v>78840</v>
      </c>
      <c r="Q166" s="83">
        <f>SUMIFS(Roster!$O$5:$O$1504,Roster!$B$5:$B$1504,$A166)*J166</f>
        <v>118260.00000000001</v>
      </c>
      <c r="R166" s="82">
        <f t="shared" si="16"/>
        <v>118260.00000000001</v>
      </c>
      <c r="S166" s="82">
        <f t="shared" si="17"/>
        <v>0</v>
      </c>
      <c r="T166" s="82">
        <f t="shared" si="18"/>
        <v>-89.999999999985448</v>
      </c>
      <c r="U166" s="82">
        <f t="shared" si="19"/>
        <v>0</v>
      </c>
      <c r="V166" s="83">
        <f>IF(COUNTIFS(Roster!$B$5:$B$1504,$A166,Roster!$G$5:$G$1504,"&gt;0")=0,0,SUMIFS(Roster!$H$5:$H$1504,Roster!$B$5:$B$1504,$A166,Roster!$G$5:$G$1504,_xlfn.MAXIFS(Roster!$G$5:$G$1504,Roster!$B$5:$B$1504,$A166)))</f>
        <v>0</v>
      </c>
      <c r="W166" s="101" t="str">
        <f t="shared" si="20"/>
        <v>Filled</v>
      </c>
    </row>
    <row r="167" spans="1:23" x14ac:dyDescent="0.25">
      <c r="A167" s="76" t="s">
        <v>572</v>
      </c>
      <c r="B167" s="76" t="s">
        <v>360</v>
      </c>
      <c r="C167" s="76" t="s">
        <v>551</v>
      </c>
      <c r="D167" s="97">
        <v>3</v>
      </c>
      <c r="E167" s="98" t="s">
        <v>325</v>
      </c>
      <c r="F167" s="78">
        <v>123000</v>
      </c>
      <c r="G167" s="97">
        <v>1</v>
      </c>
      <c r="H167" s="98" t="s">
        <v>399</v>
      </c>
      <c r="J167" s="99">
        <f>1+Assumptions!$B$11+INDEX(Assumptions!$B$12:$B$15,D167)*Assumptions!$B$16</f>
        <v>1.4</v>
      </c>
      <c r="K167" s="82">
        <f t="shared" si="14"/>
        <v>172200</v>
      </c>
      <c r="L167" s="100">
        <f>IF(E167="Yes",MAX(0,Assumptions!$B$8-G167+1),0)</f>
        <v>8</v>
      </c>
      <c r="M167" s="82">
        <f t="shared" si="15"/>
        <v>114800</v>
      </c>
      <c r="N167" s="100">
        <f>MIN(1,SUMIFS(Roster!$N$5:$N$1504,Roster!$B$5:$B$1504,$A167))</f>
        <v>1</v>
      </c>
      <c r="O167" s="100">
        <f>SUMIFS(Roster!$L$5:$L$1504,Roster!$B$5:$B$1504,$A167)</f>
        <v>8</v>
      </c>
      <c r="P167" s="83">
        <f>SUMIFS(Roster!$M$5:$M$1504,Roster!$B$5:$B$1504,$A167)*J167</f>
        <v>114053.33333333333</v>
      </c>
      <c r="Q167" s="83">
        <f>SUMIFS(Roster!$O$5:$O$1504,Roster!$B$5:$B$1504,$A167)*J167</f>
        <v>171080</v>
      </c>
      <c r="R167" s="82">
        <f t="shared" si="16"/>
        <v>171080</v>
      </c>
      <c r="S167" s="82">
        <f t="shared" si="17"/>
        <v>0</v>
      </c>
      <c r="T167" s="82">
        <f t="shared" si="18"/>
        <v>746.66666666667152</v>
      </c>
      <c r="U167" s="82">
        <f t="shared" si="19"/>
        <v>0</v>
      </c>
      <c r="V167" s="83">
        <f>IF(COUNTIFS(Roster!$B$5:$B$1504,$A167,Roster!$G$5:$G$1504,"&gt;0")=0,0,SUMIFS(Roster!$H$5:$H$1504,Roster!$B$5:$B$1504,$A167,Roster!$G$5:$G$1504,_xlfn.MAXIFS(Roster!$G$5:$G$1504,Roster!$B$5:$B$1504,$A167)))</f>
        <v>0</v>
      </c>
      <c r="W167" s="101" t="str">
        <f t="shared" si="20"/>
        <v>Filled</v>
      </c>
    </row>
    <row r="168" spans="1:23" x14ac:dyDescent="0.25">
      <c r="A168" s="76" t="s">
        <v>573</v>
      </c>
      <c r="B168" s="76" t="s">
        <v>360</v>
      </c>
      <c r="C168" s="76" t="s">
        <v>553</v>
      </c>
      <c r="D168" s="97">
        <v>2</v>
      </c>
      <c r="E168" s="98" t="s">
        <v>325</v>
      </c>
      <c r="F168" s="78">
        <v>98500</v>
      </c>
      <c r="G168" s="97">
        <v>1</v>
      </c>
      <c r="H168" s="98" t="s">
        <v>399</v>
      </c>
      <c r="J168" s="99">
        <f>1+Assumptions!$B$11+INDEX(Assumptions!$B$12:$B$15,D168)*Assumptions!$B$16</f>
        <v>1.35</v>
      </c>
      <c r="K168" s="82">
        <f t="shared" si="14"/>
        <v>132975</v>
      </c>
      <c r="L168" s="100">
        <f>IF(E168="Yes",MAX(0,Assumptions!$B$8-G168+1),0)</f>
        <v>8</v>
      </c>
      <c r="M168" s="82">
        <f t="shared" si="15"/>
        <v>88650</v>
      </c>
      <c r="N168" s="100">
        <f>MIN(1,SUMIFS(Roster!$N$5:$N$1504,Roster!$B$5:$B$1504,$A168))</f>
        <v>1</v>
      </c>
      <c r="O168" s="100">
        <f>SUMIFS(Roster!$L$5:$L$1504,Roster!$B$5:$B$1504,$A168)</f>
        <v>8</v>
      </c>
      <c r="P168" s="83">
        <f>SUMIFS(Roster!$M$5:$M$1504,Roster!$B$5:$B$1504,$A168)*J168</f>
        <v>88020</v>
      </c>
      <c r="Q168" s="83">
        <f>SUMIFS(Roster!$O$5:$O$1504,Roster!$B$5:$B$1504,$A168)*J168</f>
        <v>132030</v>
      </c>
      <c r="R168" s="82">
        <f t="shared" si="16"/>
        <v>132030</v>
      </c>
      <c r="S168" s="82">
        <f t="shared" si="17"/>
        <v>0</v>
      </c>
      <c r="T168" s="82">
        <f t="shared" si="18"/>
        <v>630</v>
      </c>
      <c r="U168" s="82">
        <f t="shared" si="19"/>
        <v>0</v>
      </c>
      <c r="V168" s="83">
        <f>IF(COUNTIFS(Roster!$B$5:$B$1504,$A168,Roster!$G$5:$G$1504,"&gt;0")=0,0,SUMIFS(Roster!$H$5:$H$1504,Roster!$B$5:$B$1504,$A168,Roster!$G$5:$G$1504,_xlfn.MAXIFS(Roster!$G$5:$G$1504,Roster!$B$5:$B$1504,$A168)))</f>
        <v>0</v>
      </c>
      <c r="W168" s="101" t="str">
        <f t="shared" si="20"/>
        <v>Filled</v>
      </c>
    </row>
    <row r="169" spans="1:23" x14ac:dyDescent="0.25">
      <c r="A169" s="76" t="s">
        <v>574</v>
      </c>
      <c r="B169" s="76" t="s">
        <v>360</v>
      </c>
      <c r="C169" s="76" t="s">
        <v>553</v>
      </c>
      <c r="D169" s="97">
        <v>2</v>
      </c>
      <c r="E169" s="98" t="s">
        <v>325</v>
      </c>
      <c r="F169" s="78">
        <v>89500</v>
      </c>
      <c r="G169" s="97">
        <v>1</v>
      </c>
      <c r="H169" s="98" t="s">
        <v>399</v>
      </c>
      <c r="J169" s="99">
        <f>1+Assumptions!$B$11+INDEX(Assumptions!$B$12:$B$15,D169)*Assumptions!$B$16</f>
        <v>1.35</v>
      </c>
      <c r="K169" s="82">
        <f t="shared" si="14"/>
        <v>120825.00000000001</v>
      </c>
      <c r="L169" s="100">
        <f>IF(E169="Yes",MAX(0,Assumptions!$B$8-G169+1),0)</f>
        <v>8</v>
      </c>
      <c r="M169" s="82">
        <f t="shared" si="15"/>
        <v>80550.000000000015</v>
      </c>
      <c r="N169" s="100">
        <f>MIN(1,SUMIFS(Roster!$N$5:$N$1504,Roster!$B$5:$B$1504,$A169))</f>
        <v>1</v>
      </c>
      <c r="O169" s="100">
        <f>SUMIFS(Roster!$L$5:$L$1504,Roster!$B$5:$B$1504,$A169)</f>
        <v>8</v>
      </c>
      <c r="P169" s="83">
        <f>SUMIFS(Roster!$M$5:$M$1504,Roster!$B$5:$B$1504,$A169)*J169</f>
        <v>80280</v>
      </c>
      <c r="Q169" s="83">
        <f>SUMIFS(Roster!$O$5:$O$1504,Roster!$B$5:$B$1504,$A169)*J169</f>
        <v>120420.00000000001</v>
      </c>
      <c r="R169" s="82">
        <f t="shared" si="16"/>
        <v>120420.00000000001</v>
      </c>
      <c r="S169" s="82">
        <f t="shared" si="17"/>
        <v>0</v>
      </c>
      <c r="T169" s="82">
        <f t="shared" si="18"/>
        <v>270.00000000001455</v>
      </c>
      <c r="U169" s="82">
        <f t="shared" si="19"/>
        <v>0</v>
      </c>
      <c r="V169" s="83">
        <f>IF(COUNTIFS(Roster!$B$5:$B$1504,$A169,Roster!$G$5:$G$1504,"&gt;0")=0,0,SUMIFS(Roster!$H$5:$H$1504,Roster!$B$5:$B$1504,$A169,Roster!$G$5:$G$1504,_xlfn.MAXIFS(Roster!$G$5:$G$1504,Roster!$B$5:$B$1504,$A169)))</f>
        <v>0</v>
      </c>
      <c r="W169" s="101" t="str">
        <f t="shared" si="20"/>
        <v>Filled</v>
      </c>
    </row>
    <row r="170" spans="1:23" x14ac:dyDescent="0.25">
      <c r="A170" s="76" t="s">
        <v>575</v>
      </c>
      <c r="B170" s="76" t="s">
        <v>360</v>
      </c>
      <c r="C170" s="76" t="s">
        <v>553</v>
      </c>
      <c r="D170" s="97">
        <v>2</v>
      </c>
      <c r="E170" s="98" t="s">
        <v>325</v>
      </c>
      <c r="F170" s="78">
        <v>88500</v>
      </c>
      <c r="G170" s="97">
        <v>1</v>
      </c>
      <c r="H170" s="98" t="s">
        <v>399</v>
      </c>
      <c r="J170" s="99">
        <f>1+Assumptions!$B$11+INDEX(Assumptions!$B$12:$B$15,D170)*Assumptions!$B$16</f>
        <v>1.35</v>
      </c>
      <c r="K170" s="82">
        <f t="shared" si="14"/>
        <v>119475.00000000001</v>
      </c>
      <c r="L170" s="100">
        <f>IF(E170="Yes",MAX(0,Assumptions!$B$8-G170+1),0)</f>
        <v>8</v>
      </c>
      <c r="M170" s="82">
        <f t="shared" si="15"/>
        <v>79650.000000000015</v>
      </c>
      <c r="N170" s="100">
        <f>MIN(1,SUMIFS(Roster!$N$5:$N$1504,Roster!$B$5:$B$1504,$A170))</f>
        <v>1</v>
      </c>
      <c r="O170" s="100">
        <f>SUMIFS(Roster!$L$5:$L$1504,Roster!$B$5:$B$1504,$A170)</f>
        <v>8</v>
      </c>
      <c r="P170" s="83">
        <f>SUMIFS(Roster!$M$5:$M$1504,Roster!$B$5:$B$1504,$A170)*J170</f>
        <v>80190</v>
      </c>
      <c r="Q170" s="83">
        <f>SUMIFS(Roster!$O$5:$O$1504,Roster!$B$5:$B$1504,$A170)*J170</f>
        <v>120285.00000000001</v>
      </c>
      <c r="R170" s="82">
        <f t="shared" si="16"/>
        <v>120285.00000000001</v>
      </c>
      <c r="S170" s="82">
        <f t="shared" si="17"/>
        <v>0</v>
      </c>
      <c r="T170" s="82">
        <f t="shared" si="18"/>
        <v>-539.99999999998545</v>
      </c>
      <c r="U170" s="82">
        <f t="shared" si="19"/>
        <v>0</v>
      </c>
      <c r="V170" s="83">
        <f>IF(COUNTIFS(Roster!$B$5:$B$1504,$A170,Roster!$G$5:$G$1504,"&gt;0")=0,0,SUMIFS(Roster!$H$5:$H$1504,Roster!$B$5:$B$1504,$A170,Roster!$G$5:$G$1504,_xlfn.MAXIFS(Roster!$G$5:$G$1504,Roster!$B$5:$B$1504,$A170)))</f>
        <v>0</v>
      </c>
      <c r="W170" s="101" t="str">
        <f t="shared" si="20"/>
        <v>Filled</v>
      </c>
    </row>
    <row r="171" spans="1:23" x14ac:dyDescent="0.25">
      <c r="A171" s="76" t="s">
        <v>576</v>
      </c>
      <c r="B171" s="76" t="s">
        <v>360</v>
      </c>
      <c r="C171" s="76" t="s">
        <v>553</v>
      </c>
      <c r="D171" s="97">
        <v>2</v>
      </c>
      <c r="E171" s="98" t="s">
        <v>325</v>
      </c>
      <c r="F171" s="78">
        <v>104000</v>
      </c>
      <c r="G171" s="97">
        <v>1</v>
      </c>
      <c r="H171" s="98" t="s">
        <v>399</v>
      </c>
      <c r="J171" s="99">
        <f>1+Assumptions!$B$11+INDEX(Assumptions!$B$12:$B$15,D171)*Assumptions!$B$16</f>
        <v>1.35</v>
      </c>
      <c r="K171" s="82">
        <f t="shared" si="14"/>
        <v>140400</v>
      </c>
      <c r="L171" s="100">
        <f>IF(E171="Yes",MAX(0,Assumptions!$B$8-G171+1),0)</f>
        <v>8</v>
      </c>
      <c r="M171" s="82">
        <f t="shared" si="15"/>
        <v>93600</v>
      </c>
      <c r="N171" s="100">
        <f>MIN(1,SUMIFS(Roster!$N$5:$N$1504,Roster!$B$5:$B$1504,$A171))</f>
        <v>1</v>
      </c>
      <c r="O171" s="100">
        <f>SUMIFS(Roster!$L$5:$L$1504,Roster!$B$5:$B$1504,$A171)</f>
        <v>8</v>
      </c>
      <c r="P171" s="83">
        <f>SUMIFS(Roster!$M$5:$M$1504,Roster!$B$5:$B$1504,$A171)*J171</f>
        <v>93690</v>
      </c>
      <c r="Q171" s="83">
        <f>SUMIFS(Roster!$O$5:$O$1504,Roster!$B$5:$B$1504,$A171)*J171</f>
        <v>140535</v>
      </c>
      <c r="R171" s="82">
        <f t="shared" si="16"/>
        <v>140535</v>
      </c>
      <c r="S171" s="82">
        <f t="shared" si="17"/>
        <v>0</v>
      </c>
      <c r="T171" s="82">
        <f t="shared" si="18"/>
        <v>-90</v>
      </c>
      <c r="U171" s="82">
        <f t="shared" si="19"/>
        <v>0</v>
      </c>
      <c r="V171" s="83">
        <f>IF(COUNTIFS(Roster!$B$5:$B$1504,$A171,Roster!$G$5:$G$1504,"&gt;0")=0,0,SUMIFS(Roster!$H$5:$H$1504,Roster!$B$5:$B$1504,$A171,Roster!$G$5:$G$1504,_xlfn.MAXIFS(Roster!$G$5:$G$1504,Roster!$B$5:$B$1504,$A171)))</f>
        <v>0</v>
      </c>
      <c r="W171" s="101" t="str">
        <f t="shared" si="20"/>
        <v>Filled</v>
      </c>
    </row>
    <row r="172" spans="1:23" x14ac:dyDescent="0.25">
      <c r="A172" s="76" t="s">
        <v>577</v>
      </c>
      <c r="B172" s="76" t="s">
        <v>360</v>
      </c>
      <c r="C172" s="76" t="s">
        <v>551</v>
      </c>
      <c r="D172" s="97">
        <v>3</v>
      </c>
      <c r="E172" s="98" t="s">
        <v>325</v>
      </c>
      <c r="F172" s="78">
        <v>132500</v>
      </c>
      <c r="G172" s="97">
        <v>1</v>
      </c>
      <c r="H172" s="98" t="s">
        <v>399</v>
      </c>
      <c r="J172" s="99">
        <f>1+Assumptions!$B$11+INDEX(Assumptions!$B$12:$B$15,D172)*Assumptions!$B$16</f>
        <v>1.4</v>
      </c>
      <c r="K172" s="82">
        <f t="shared" si="14"/>
        <v>185500</v>
      </c>
      <c r="L172" s="100">
        <f>IF(E172="Yes",MAX(0,Assumptions!$B$8-G172+1),0)</f>
        <v>8</v>
      </c>
      <c r="M172" s="82">
        <f t="shared" si="15"/>
        <v>123666.66666666667</v>
      </c>
      <c r="N172" s="100">
        <f>MIN(1,SUMIFS(Roster!$N$5:$N$1504,Roster!$B$5:$B$1504,$A172))</f>
        <v>1</v>
      </c>
      <c r="O172" s="100">
        <f>SUMIFS(Roster!$L$5:$L$1504,Roster!$B$5:$B$1504,$A172)</f>
        <v>8</v>
      </c>
      <c r="P172" s="83">
        <f>SUMIFS(Roster!$M$5:$M$1504,Roster!$B$5:$B$1504,$A172)*J172</f>
        <v>124413.33333333333</v>
      </c>
      <c r="Q172" s="83">
        <f>SUMIFS(Roster!$O$5:$O$1504,Roster!$B$5:$B$1504,$A172)*J172</f>
        <v>186620</v>
      </c>
      <c r="R172" s="82">
        <f t="shared" si="16"/>
        <v>186620</v>
      </c>
      <c r="S172" s="82">
        <f t="shared" si="17"/>
        <v>0</v>
      </c>
      <c r="T172" s="82">
        <f t="shared" si="18"/>
        <v>-746.66666666665697</v>
      </c>
      <c r="U172" s="82">
        <f t="shared" si="19"/>
        <v>0</v>
      </c>
      <c r="V172" s="83">
        <f>IF(COUNTIFS(Roster!$B$5:$B$1504,$A172,Roster!$G$5:$G$1504,"&gt;0")=0,0,SUMIFS(Roster!$H$5:$H$1504,Roster!$B$5:$B$1504,$A172,Roster!$G$5:$G$1504,_xlfn.MAXIFS(Roster!$G$5:$G$1504,Roster!$B$5:$B$1504,$A172)))</f>
        <v>0</v>
      </c>
      <c r="W172" s="101" t="str">
        <f t="shared" si="20"/>
        <v>Filled</v>
      </c>
    </row>
    <row r="173" spans="1:23" x14ac:dyDescent="0.25">
      <c r="A173" s="76" t="s">
        <v>578</v>
      </c>
      <c r="B173" s="76" t="s">
        <v>360</v>
      </c>
      <c r="C173" s="76" t="s">
        <v>553</v>
      </c>
      <c r="D173" s="97">
        <v>2</v>
      </c>
      <c r="E173" s="98" t="s">
        <v>325</v>
      </c>
      <c r="F173" s="78">
        <v>93000</v>
      </c>
      <c r="G173" s="97">
        <v>1</v>
      </c>
      <c r="H173" s="98" t="s">
        <v>399</v>
      </c>
      <c r="J173" s="99">
        <f>1+Assumptions!$B$11+INDEX(Assumptions!$B$12:$B$15,D173)*Assumptions!$B$16</f>
        <v>1.35</v>
      </c>
      <c r="K173" s="82">
        <f t="shared" si="14"/>
        <v>125550.00000000001</v>
      </c>
      <c r="L173" s="100">
        <f>IF(E173="Yes",MAX(0,Assumptions!$B$8-G173+1),0)</f>
        <v>8</v>
      </c>
      <c r="M173" s="82">
        <f t="shared" si="15"/>
        <v>83700.000000000015</v>
      </c>
      <c r="N173" s="100">
        <f>MIN(1,SUMIFS(Roster!$N$5:$N$1504,Roster!$B$5:$B$1504,$A173))</f>
        <v>1</v>
      </c>
      <c r="O173" s="100">
        <f>SUMIFS(Roster!$L$5:$L$1504,Roster!$B$5:$B$1504,$A173)</f>
        <v>8</v>
      </c>
      <c r="P173" s="83">
        <f>SUMIFS(Roster!$M$5:$M$1504,Roster!$B$5:$B$1504,$A173)*J173</f>
        <v>83610.000000000015</v>
      </c>
      <c r="Q173" s="83">
        <f>SUMIFS(Roster!$O$5:$O$1504,Roster!$B$5:$B$1504,$A173)*J173</f>
        <v>125415.00000000001</v>
      </c>
      <c r="R173" s="82">
        <f t="shared" si="16"/>
        <v>125415.00000000001</v>
      </c>
      <c r="S173" s="82">
        <f t="shared" si="17"/>
        <v>0</v>
      </c>
      <c r="T173" s="82">
        <f t="shared" si="18"/>
        <v>90</v>
      </c>
      <c r="U173" s="82">
        <f t="shared" si="19"/>
        <v>0</v>
      </c>
      <c r="V173" s="83">
        <f>IF(COUNTIFS(Roster!$B$5:$B$1504,$A173,Roster!$G$5:$G$1504,"&gt;0")=0,0,SUMIFS(Roster!$H$5:$H$1504,Roster!$B$5:$B$1504,$A173,Roster!$G$5:$G$1504,_xlfn.MAXIFS(Roster!$G$5:$G$1504,Roster!$B$5:$B$1504,$A173)))</f>
        <v>0</v>
      </c>
      <c r="W173" s="101" t="str">
        <f t="shared" si="20"/>
        <v>Filled</v>
      </c>
    </row>
    <row r="174" spans="1:23" x14ac:dyDescent="0.25">
      <c r="A174" s="76" t="s">
        <v>579</v>
      </c>
      <c r="B174" s="76" t="s">
        <v>360</v>
      </c>
      <c r="C174" s="76" t="s">
        <v>553</v>
      </c>
      <c r="D174" s="97">
        <v>2</v>
      </c>
      <c r="E174" s="98" t="s">
        <v>325</v>
      </c>
      <c r="F174" s="78">
        <v>88000</v>
      </c>
      <c r="G174" s="97">
        <v>1</v>
      </c>
      <c r="H174" s="98" t="s">
        <v>399</v>
      </c>
      <c r="J174" s="99">
        <f>1+Assumptions!$B$11+INDEX(Assumptions!$B$12:$B$15,D174)*Assumptions!$B$16</f>
        <v>1.35</v>
      </c>
      <c r="K174" s="82">
        <f t="shared" si="14"/>
        <v>118800.00000000001</v>
      </c>
      <c r="L174" s="100">
        <f>IF(E174="Yes",MAX(0,Assumptions!$B$8-G174+1),0)</f>
        <v>8</v>
      </c>
      <c r="M174" s="82">
        <f t="shared" si="15"/>
        <v>79200.000000000015</v>
      </c>
      <c r="N174" s="100">
        <f>MIN(1,SUMIFS(Roster!$N$5:$N$1504,Roster!$B$5:$B$1504,$A174))</f>
        <v>0</v>
      </c>
      <c r="O174" s="100">
        <f>SUMIFS(Roster!$L$5:$L$1504,Roster!$B$5:$B$1504,$A174)</f>
        <v>5</v>
      </c>
      <c r="P174" s="83">
        <f>SUMIFS(Roster!$M$5:$M$1504,Roster!$B$5:$B$1504,$A174)*J174</f>
        <v>49781.25</v>
      </c>
      <c r="Q174" s="83">
        <f>SUMIFS(Roster!$O$5:$O$1504,Roster!$B$5:$B$1504,$A174)*J174</f>
        <v>0</v>
      </c>
      <c r="R174" s="82">
        <f t="shared" si="16"/>
        <v>118800.00000000001</v>
      </c>
      <c r="S174" s="82">
        <f t="shared" si="17"/>
        <v>29700.000000000004</v>
      </c>
      <c r="T174" s="82">
        <f t="shared" si="18"/>
        <v>-281.24999999999272</v>
      </c>
      <c r="U174" s="82">
        <f t="shared" si="19"/>
        <v>0</v>
      </c>
      <c r="V174" s="83">
        <f>IF(COUNTIFS(Roster!$B$5:$B$1504,$A174,Roster!$G$5:$G$1504,"&gt;0")=0,0,SUMIFS(Roster!$H$5:$H$1504,Roster!$B$5:$B$1504,$A174,Roster!$G$5:$G$1504,_xlfn.MAXIFS(Roster!$G$5:$G$1504,Roster!$B$5:$B$1504,$A174)))</f>
        <v>88500</v>
      </c>
      <c r="W174" s="101" t="str">
        <f t="shared" si="20"/>
        <v>Open: to fill</v>
      </c>
    </row>
    <row r="175" spans="1:23" x14ac:dyDescent="0.25">
      <c r="A175" s="76" t="s">
        <v>580</v>
      </c>
      <c r="B175" s="76" t="s">
        <v>360</v>
      </c>
      <c r="C175" s="76" t="s">
        <v>551</v>
      </c>
      <c r="D175" s="97">
        <v>3</v>
      </c>
      <c r="E175" s="98" t="s">
        <v>325</v>
      </c>
      <c r="F175" s="78">
        <v>139000</v>
      </c>
      <c r="G175" s="97">
        <v>1</v>
      </c>
      <c r="H175" s="98" t="s">
        <v>399</v>
      </c>
      <c r="J175" s="99">
        <f>1+Assumptions!$B$11+INDEX(Assumptions!$B$12:$B$15,D175)*Assumptions!$B$16</f>
        <v>1.4</v>
      </c>
      <c r="K175" s="82">
        <f t="shared" si="14"/>
        <v>194600</v>
      </c>
      <c r="L175" s="100">
        <f>IF(E175="Yes",MAX(0,Assumptions!$B$8-G175+1),0)</f>
        <v>8</v>
      </c>
      <c r="M175" s="82">
        <f t="shared" si="15"/>
        <v>129733.33333333333</v>
      </c>
      <c r="N175" s="100">
        <f>MIN(1,SUMIFS(Roster!$N$5:$N$1504,Roster!$B$5:$B$1504,$A175))</f>
        <v>1</v>
      </c>
      <c r="O175" s="100">
        <f>SUMIFS(Roster!$L$5:$L$1504,Roster!$B$5:$B$1504,$A175)</f>
        <v>8</v>
      </c>
      <c r="P175" s="83">
        <f>SUMIFS(Roster!$M$5:$M$1504,Roster!$B$5:$B$1504,$A175)*J175</f>
        <v>128333.33333333333</v>
      </c>
      <c r="Q175" s="83">
        <f>SUMIFS(Roster!$O$5:$O$1504,Roster!$B$5:$B$1504,$A175)*J175</f>
        <v>192500</v>
      </c>
      <c r="R175" s="82">
        <f t="shared" si="16"/>
        <v>192500</v>
      </c>
      <c r="S175" s="82">
        <f t="shared" si="17"/>
        <v>0</v>
      </c>
      <c r="T175" s="82">
        <f t="shared" si="18"/>
        <v>1400</v>
      </c>
      <c r="U175" s="82">
        <f t="shared" si="19"/>
        <v>0</v>
      </c>
      <c r="V175" s="83">
        <f>IF(COUNTIFS(Roster!$B$5:$B$1504,$A175,Roster!$G$5:$G$1504,"&gt;0")=0,0,SUMIFS(Roster!$H$5:$H$1504,Roster!$B$5:$B$1504,$A175,Roster!$G$5:$G$1504,_xlfn.MAXIFS(Roster!$G$5:$G$1504,Roster!$B$5:$B$1504,$A175)))</f>
        <v>0</v>
      </c>
      <c r="W175" s="101" t="str">
        <f t="shared" si="20"/>
        <v>Filled</v>
      </c>
    </row>
    <row r="176" spans="1:23" x14ac:dyDescent="0.25">
      <c r="A176" s="76" t="s">
        <v>581</v>
      </c>
      <c r="B176" s="76" t="s">
        <v>360</v>
      </c>
      <c r="C176" s="76" t="s">
        <v>553</v>
      </c>
      <c r="D176" s="97">
        <v>2</v>
      </c>
      <c r="E176" s="98" t="s">
        <v>325</v>
      </c>
      <c r="F176" s="78">
        <v>92500</v>
      </c>
      <c r="G176" s="97">
        <v>1</v>
      </c>
      <c r="H176" s="98" t="s">
        <v>399</v>
      </c>
      <c r="J176" s="99">
        <f>1+Assumptions!$B$11+INDEX(Assumptions!$B$12:$B$15,D176)*Assumptions!$B$16</f>
        <v>1.35</v>
      </c>
      <c r="K176" s="82">
        <f t="shared" si="14"/>
        <v>124875.00000000001</v>
      </c>
      <c r="L176" s="100">
        <f>IF(E176="Yes",MAX(0,Assumptions!$B$8-G176+1),0)</f>
        <v>8</v>
      </c>
      <c r="M176" s="82">
        <f t="shared" si="15"/>
        <v>83250.000000000015</v>
      </c>
      <c r="N176" s="100">
        <f>MIN(1,SUMIFS(Roster!$N$5:$N$1504,Roster!$B$5:$B$1504,$A176))</f>
        <v>1</v>
      </c>
      <c r="O176" s="100">
        <f>SUMIFS(Roster!$L$5:$L$1504,Roster!$B$5:$B$1504,$A176)</f>
        <v>8</v>
      </c>
      <c r="P176" s="83">
        <f>SUMIFS(Roster!$M$5:$M$1504,Roster!$B$5:$B$1504,$A176)*J176</f>
        <v>83520</v>
      </c>
      <c r="Q176" s="83">
        <f>SUMIFS(Roster!$O$5:$O$1504,Roster!$B$5:$B$1504,$A176)*J176</f>
        <v>125280.00000000001</v>
      </c>
      <c r="R176" s="82">
        <f t="shared" si="16"/>
        <v>125280.00000000001</v>
      </c>
      <c r="S176" s="82">
        <f t="shared" si="17"/>
        <v>0</v>
      </c>
      <c r="T176" s="82">
        <f t="shared" si="18"/>
        <v>-269.99999999998545</v>
      </c>
      <c r="U176" s="82">
        <f t="shared" si="19"/>
        <v>0</v>
      </c>
      <c r="V176" s="83">
        <f>IF(COUNTIFS(Roster!$B$5:$B$1504,$A176,Roster!$G$5:$G$1504,"&gt;0")=0,0,SUMIFS(Roster!$H$5:$H$1504,Roster!$B$5:$B$1504,$A176,Roster!$G$5:$G$1504,_xlfn.MAXIFS(Roster!$G$5:$G$1504,Roster!$B$5:$B$1504,$A176)))</f>
        <v>0</v>
      </c>
      <c r="W176" s="101" t="str">
        <f t="shared" si="20"/>
        <v>Filled</v>
      </c>
    </row>
    <row r="177" spans="1:23" x14ac:dyDescent="0.25">
      <c r="A177" s="76" t="s">
        <v>582</v>
      </c>
      <c r="B177" s="76" t="s">
        <v>360</v>
      </c>
      <c r="C177" s="76" t="s">
        <v>553</v>
      </c>
      <c r="D177" s="97">
        <v>2</v>
      </c>
      <c r="E177" s="98" t="s">
        <v>325</v>
      </c>
      <c r="F177" s="78">
        <v>103000</v>
      </c>
      <c r="G177" s="97">
        <v>1</v>
      </c>
      <c r="H177" s="98" t="s">
        <v>399</v>
      </c>
      <c r="J177" s="99">
        <f>1+Assumptions!$B$11+INDEX(Assumptions!$B$12:$B$15,D177)*Assumptions!$B$16</f>
        <v>1.35</v>
      </c>
      <c r="K177" s="82">
        <f t="shared" si="14"/>
        <v>139050</v>
      </c>
      <c r="L177" s="100">
        <f>IF(E177="Yes",MAX(0,Assumptions!$B$8-G177+1),0)</f>
        <v>8</v>
      </c>
      <c r="M177" s="82">
        <f t="shared" si="15"/>
        <v>92700</v>
      </c>
      <c r="N177" s="100">
        <f>MIN(1,SUMIFS(Roster!$N$5:$N$1504,Roster!$B$5:$B$1504,$A177))</f>
        <v>1</v>
      </c>
      <c r="O177" s="100">
        <f>SUMIFS(Roster!$L$5:$L$1504,Roster!$B$5:$B$1504,$A177)</f>
        <v>8</v>
      </c>
      <c r="P177" s="83">
        <f>SUMIFS(Roster!$M$5:$M$1504,Roster!$B$5:$B$1504,$A177)*J177</f>
        <v>92790</v>
      </c>
      <c r="Q177" s="83">
        <f>SUMIFS(Roster!$O$5:$O$1504,Roster!$B$5:$B$1504,$A177)*J177</f>
        <v>139185</v>
      </c>
      <c r="R177" s="82">
        <f t="shared" si="16"/>
        <v>139185</v>
      </c>
      <c r="S177" s="82">
        <f t="shared" si="17"/>
        <v>0</v>
      </c>
      <c r="T177" s="82">
        <f t="shared" si="18"/>
        <v>-90</v>
      </c>
      <c r="U177" s="82">
        <f t="shared" si="19"/>
        <v>0</v>
      </c>
      <c r="V177" s="83">
        <f>IF(COUNTIFS(Roster!$B$5:$B$1504,$A177,Roster!$G$5:$G$1504,"&gt;0")=0,0,SUMIFS(Roster!$H$5:$H$1504,Roster!$B$5:$B$1504,$A177,Roster!$G$5:$G$1504,_xlfn.MAXIFS(Roster!$G$5:$G$1504,Roster!$B$5:$B$1504,$A177)))</f>
        <v>0</v>
      </c>
      <c r="W177" s="101" t="str">
        <f t="shared" si="20"/>
        <v>Filled</v>
      </c>
    </row>
    <row r="178" spans="1:23" x14ac:dyDescent="0.25">
      <c r="A178" s="76" t="s">
        <v>583</v>
      </c>
      <c r="B178" s="76" t="s">
        <v>360</v>
      </c>
      <c r="C178" s="76" t="s">
        <v>551</v>
      </c>
      <c r="D178" s="97">
        <v>3</v>
      </c>
      <c r="E178" s="98" t="s">
        <v>325</v>
      </c>
      <c r="F178" s="78">
        <v>112500</v>
      </c>
      <c r="G178" s="97">
        <v>1</v>
      </c>
      <c r="H178" s="98" t="s">
        <v>399</v>
      </c>
      <c r="J178" s="99">
        <f>1+Assumptions!$B$11+INDEX(Assumptions!$B$12:$B$15,D178)*Assumptions!$B$16</f>
        <v>1.4</v>
      </c>
      <c r="K178" s="82">
        <f t="shared" si="14"/>
        <v>157500</v>
      </c>
      <c r="L178" s="100">
        <f>IF(E178="Yes",MAX(0,Assumptions!$B$8-G178+1),0)</f>
        <v>8</v>
      </c>
      <c r="M178" s="82">
        <f t="shared" si="15"/>
        <v>105000</v>
      </c>
      <c r="N178" s="100">
        <f>MIN(1,SUMIFS(Roster!$N$5:$N$1504,Roster!$B$5:$B$1504,$A178))</f>
        <v>1</v>
      </c>
      <c r="O178" s="100">
        <f>SUMIFS(Roster!$L$5:$L$1504,Roster!$B$5:$B$1504,$A178)</f>
        <v>8</v>
      </c>
      <c r="P178" s="83">
        <f>SUMIFS(Roster!$M$5:$M$1504,Roster!$B$5:$B$1504,$A178)*J178</f>
        <v>105746.66666666666</v>
      </c>
      <c r="Q178" s="83">
        <f>SUMIFS(Roster!$O$5:$O$1504,Roster!$B$5:$B$1504,$A178)*J178</f>
        <v>158620</v>
      </c>
      <c r="R178" s="82">
        <f t="shared" si="16"/>
        <v>158620</v>
      </c>
      <c r="S178" s="82">
        <f t="shared" si="17"/>
        <v>0</v>
      </c>
      <c r="T178" s="82">
        <f t="shared" si="18"/>
        <v>-746.66666666665697</v>
      </c>
      <c r="U178" s="82">
        <f t="shared" si="19"/>
        <v>0</v>
      </c>
      <c r="V178" s="83">
        <f>IF(COUNTIFS(Roster!$B$5:$B$1504,$A178,Roster!$G$5:$G$1504,"&gt;0")=0,0,SUMIFS(Roster!$H$5:$H$1504,Roster!$B$5:$B$1504,$A178,Roster!$G$5:$G$1504,_xlfn.MAXIFS(Roster!$G$5:$G$1504,Roster!$B$5:$B$1504,$A178)))</f>
        <v>0</v>
      </c>
      <c r="W178" s="101" t="str">
        <f t="shared" si="20"/>
        <v>Filled</v>
      </c>
    </row>
    <row r="179" spans="1:23" x14ac:dyDescent="0.25">
      <c r="A179" s="76" t="s">
        <v>584</v>
      </c>
      <c r="B179" s="76" t="s">
        <v>360</v>
      </c>
      <c r="C179" s="76" t="s">
        <v>566</v>
      </c>
      <c r="D179" s="97">
        <v>4</v>
      </c>
      <c r="E179" s="98" t="s">
        <v>325</v>
      </c>
      <c r="F179" s="78">
        <v>158000</v>
      </c>
      <c r="G179" s="97">
        <v>1</v>
      </c>
      <c r="H179" s="98" t="s">
        <v>399</v>
      </c>
      <c r="J179" s="99">
        <f>1+Assumptions!$B$11+INDEX(Assumptions!$B$12:$B$15,D179)*Assumptions!$B$16</f>
        <v>1.5</v>
      </c>
      <c r="K179" s="82">
        <f t="shared" si="14"/>
        <v>237000</v>
      </c>
      <c r="L179" s="100">
        <f>IF(E179="Yes",MAX(0,Assumptions!$B$8-G179+1),0)</f>
        <v>8</v>
      </c>
      <c r="M179" s="82">
        <f t="shared" si="15"/>
        <v>158000</v>
      </c>
      <c r="N179" s="100">
        <f>MIN(1,SUMIFS(Roster!$N$5:$N$1504,Roster!$B$5:$B$1504,$A179))</f>
        <v>1</v>
      </c>
      <c r="O179" s="100">
        <f>SUMIFS(Roster!$L$5:$L$1504,Roster!$B$5:$B$1504,$A179)</f>
        <v>8</v>
      </c>
      <c r="P179" s="83">
        <f>SUMIFS(Roster!$M$5:$M$1504,Roster!$B$5:$B$1504,$A179)*J179</f>
        <v>156300</v>
      </c>
      <c r="Q179" s="83">
        <f>SUMIFS(Roster!$O$5:$O$1504,Roster!$B$5:$B$1504,$A179)*J179</f>
        <v>234450</v>
      </c>
      <c r="R179" s="82">
        <f t="shared" si="16"/>
        <v>234450</v>
      </c>
      <c r="S179" s="82">
        <f t="shared" si="17"/>
        <v>0</v>
      </c>
      <c r="T179" s="82">
        <f t="shared" si="18"/>
        <v>1700</v>
      </c>
      <c r="U179" s="82">
        <f t="shared" si="19"/>
        <v>0</v>
      </c>
      <c r="V179" s="83">
        <f>IF(COUNTIFS(Roster!$B$5:$B$1504,$A179,Roster!$G$5:$G$1504,"&gt;0")=0,0,SUMIFS(Roster!$H$5:$H$1504,Roster!$B$5:$B$1504,$A179,Roster!$G$5:$G$1504,_xlfn.MAXIFS(Roster!$G$5:$G$1504,Roster!$B$5:$B$1504,$A179)))</f>
        <v>0</v>
      </c>
      <c r="W179" s="101" t="str">
        <f t="shared" si="20"/>
        <v>Filled</v>
      </c>
    </row>
    <row r="180" spans="1:23" x14ac:dyDescent="0.25">
      <c r="A180" s="76" t="s">
        <v>585</v>
      </c>
      <c r="B180" s="76" t="s">
        <v>360</v>
      </c>
      <c r="C180" s="76" t="s">
        <v>553</v>
      </c>
      <c r="D180" s="97">
        <v>2</v>
      </c>
      <c r="E180" s="98" t="s">
        <v>325</v>
      </c>
      <c r="F180" s="78">
        <v>86500</v>
      </c>
      <c r="G180" s="97">
        <v>1</v>
      </c>
      <c r="H180" s="98" t="s">
        <v>399</v>
      </c>
      <c r="J180" s="99">
        <f>1+Assumptions!$B$11+INDEX(Assumptions!$B$12:$B$15,D180)*Assumptions!$B$16</f>
        <v>1.35</v>
      </c>
      <c r="K180" s="82">
        <f t="shared" si="14"/>
        <v>116775.00000000001</v>
      </c>
      <c r="L180" s="100">
        <f>IF(E180="Yes",MAX(0,Assumptions!$B$8-G180+1),0)</f>
        <v>8</v>
      </c>
      <c r="M180" s="82">
        <f t="shared" si="15"/>
        <v>77850.000000000015</v>
      </c>
      <c r="N180" s="100">
        <f>MIN(1,SUMIFS(Roster!$N$5:$N$1504,Roster!$B$5:$B$1504,$A180))</f>
        <v>1</v>
      </c>
      <c r="O180" s="100">
        <f>SUMIFS(Roster!$L$5:$L$1504,Roster!$B$5:$B$1504,$A180)</f>
        <v>8</v>
      </c>
      <c r="P180" s="83">
        <f>SUMIFS(Roster!$M$5:$M$1504,Roster!$B$5:$B$1504,$A180)*J180</f>
        <v>78480.000000000015</v>
      </c>
      <c r="Q180" s="83">
        <f>SUMIFS(Roster!$O$5:$O$1504,Roster!$B$5:$B$1504,$A180)*J180</f>
        <v>117720.00000000001</v>
      </c>
      <c r="R180" s="82">
        <f t="shared" si="16"/>
        <v>117720.00000000001</v>
      </c>
      <c r="S180" s="82">
        <f t="shared" si="17"/>
        <v>0</v>
      </c>
      <c r="T180" s="82">
        <f t="shared" si="18"/>
        <v>-630</v>
      </c>
      <c r="U180" s="82">
        <f t="shared" si="19"/>
        <v>0</v>
      </c>
      <c r="V180" s="83">
        <f>IF(COUNTIFS(Roster!$B$5:$B$1504,$A180,Roster!$G$5:$G$1504,"&gt;0")=0,0,SUMIFS(Roster!$H$5:$H$1504,Roster!$B$5:$B$1504,$A180,Roster!$G$5:$G$1504,_xlfn.MAXIFS(Roster!$G$5:$G$1504,Roster!$B$5:$B$1504,$A180)))</f>
        <v>0</v>
      </c>
      <c r="W180" s="101" t="str">
        <f t="shared" si="20"/>
        <v>Filled</v>
      </c>
    </row>
    <row r="181" spans="1:23" x14ac:dyDescent="0.25">
      <c r="A181" s="76" t="s">
        <v>586</v>
      </c>
      <c r="B181" s="76" t="s">
        <v>360</v>
      </c>
      <c r="C181" s="76" t="s">
        <v>553</v>
      </c>
      <c r="D181" s="97">
        <v>2</v>
      </c>
      <c r="E181" s="98" t="s">
        <v>325</v>
      </c>
      <c r="F181" s="78">
        <v>96500</v>
      </c>
      <c r="G181" s="97">
        <v>1</v>
      </c>
      <c r="H181" s="98" t="s">
        <v>399</v>
      </c>
      <c r="J181" s="99">
        <f>1+Assumptions!$B$11+INDEX(Assumptions!$B$12:$B$15,D181)*Assumptions!$B$16</f>
        <v>1.35</v>
      </c>
      <c r="K181" s="82">
        <f t="shared" si="14"/>
        <v>130275.00000000001</v>
      </c>
      <c r="L181" s="100">
        <f>IF(E181="Yes",MAX(0,Assumptions!$B$8-G181+1),0)</f>
        <v>8</v>
      </c>
      <c r="M181" s="82">
        <f t="shared" si="15"/>
        <v>86850.000000000015</v>
      </c>
      <c r="N181" s="100">
        <f>MIN(1,SUMIFS(Roster!$N$5:$N$1504,Roster!$B$5:$B$1504,$A181))</f>
        <v>1</v>
      </c>
      <c r="O181" s="100">
        <f>SUMIFS(Roster!$L$5:$L$1504,Roster!$B$5:$B$1504,$A181)</f>
        <v>7</v>
      </c>
      <c r="P181" s="83">
        <f>SUMIFS(Roster!$M$5:$M$1504,Roster!$B$5:$B$1504,$A181)*J181</f>
        <v>78356.25</v>
      </c>
      <c r="Q181" s="83">
        <f>SUMIFS(Roster!$O$5:$O$1504,Roster!$B$5:$B$1504,$A181)*J181</f>
        <v>135000</v>
      </c>
      <c r="R181" s="82">
        <f t="shared" si="16"/>
        <v>135000</v>
      </c>
      <c r="S181" s="82">
        <f t="shared" si="17"/>
        <v>10856.250000000002</v>
      </c>
      <c r="T181" s="82">
        <f t="shared" si="18"/>
        <v>-2362.4999999999854</v>
      </c>
      <c r="U181" s="82">
        <f t="shared" si="19"/>
        <v>0</v>
      </c>
      <c r="V181" s="83">
        <f>IF(COUNTIFS(Roster!$B$5:$B$1504,$A181,Roster!$G$5:$G$1504,"&gt;0")=0,0,SUMIFS(Roster!$H$5:$H$1504,Roster!$B$5:$B$1504,$A181,Roster!$G$5:$G$1504,_xlfn.MAXIFS(Roster!$G$5:$G$1504,Roster!$B$5:$B$1504,$A181)))</f>
        <v>96500</v>
      </c>
      <c r="W181" s="101" t="str">
        <f t="shared" si="20"/>
        <v>Filled</v>
      </c>
    </row>
    <row r="182" spans="1:23" x14ac:dyDescent="0.25">
      <c r="A182" s="76" t="s">
        <v>587</v>
      </c>
      <c r="B182" s="76" t="s">
        <v>360</v>
      </c>
      <c r="C182" s="76" t="s">
        <v>553</v>
      </c>
      <c r="D182" s="97">
        <v>2</v>
      </c>
      <c r="E182" s="98" t="s">
        <v>325</v>
      </c>
      <c r="F182" s="78">
        <v>98500</v>
      </c>
      <c r="G182" s="97">
        <v>1</v>
      </c>
      <c r="H182" s="98" t="s">
        <v>399</v>
      </c>
      <c r="J182" s="99">
        <f>1+Assumptions!$B$11+INDEX(Assumptions!$B$12:$B$15,D182)*Assumptions!$B$16</f>
        <v>1.35</v>
      </c>
      <c r="K182" s="82">
        <f t="shared" si="14"/>
        <v>132975</v>
      </c>
      <c r="L182" s="100">
        <f>IF(E182="Yes",MAX(0,Assumptions!$B$8-G182+1),0)</f>
        <v>8</v>
      </c>
      <c r="M182" s="82">
        <f t="shared" si="15"/>
        <v>88650</v>
      </c>
      <c r="N182" s="100">
        <f>MIN(1,SUMIFS(Roster!$N$5:$N$1504,Roster!$B$5:$B$1504,$A182))</f>
        <v>1</v>
      </c>
      <c r="O182" s="100">
        <f>SUMIFS(Roster!$L$5:$L$1504,Roster!$B$5:$B$1504,$A182)</f>
        <v>8</v>
      </c>
      <c r="P182" s="83">
        <f>SUMIFS(Roster!$M$5:$M$1504,Roster!$B$5:$B$1504,$A182)*J182</f>
        <v>88470.000000000015</v>
      </c>
      <c r="Q182" s="83">
        <f>SUMIFS(Roster!$O$5:$O$1504,Roster!$B$5:$B$1504,$A182)*J182</f>
        <v>132705</v>
      </c>
      <c r="R182" s="82">
        <f t="shared" si="16"/>
        <v>132705</v>
      </c>
      <c r="S182" s="82">
        <f t="shared" si="17"/>
        <v>0</v>
      </c>
      <c r="T182" s="82">
        <f t="shared" si="18"/>
        <v>179.99999999998545</v>
      </c>
      <c r="U182" s="82">
        <f t="shared" si="19"/>
        <v>0</v>
      </c>
      <c r="V182" s="83">
        <f>IF(COUNTIFS(Roster!$B$5:$B$1504,$A182,Roster!$G$5:$G$1504,"&gt;0")=0,0,SUMIFS(Roster!$H$5:$H$1504,Roster!$B$5:$B$1504,$A182,Roster!$G$5:$G$1504,_xlfn.MAXIFS(Roster!$G$5:$G$1504,Roster!$B$5:$B$1504,$A182)))</f>
        <v>0</v>
      </c>
      <c r="W182" s="101" t="str">
        <f t="shared" si="20"/>
        <v>Filled</v>
      </c>
    </row>
    <row r="183" spans="1:23" x14ac:dyDescent="0.25">
      <c r="A183" s="76" t="s">
        <v>588</v>
      </c>
      <c r="B183" s="76" t="s">
        <v>360</v>
      </c>
      <c r="C183" s="76" t="s">
        <v>553</v>
      </c>
      <c r="D183" s="97">
        <v>2</v>
      </c>
      <c r="E183" s="98" t="s">
        <v>325</v>
      </c>
      <c r="F183" s="78">
        <v>103000</v>
      </c>
      <c r="G183" s="97">
        <v>4</v>
      </c>
      <c r="H183" s="98" t="s">
        <v>399</v>
      </c>
      <c r="J183" s="99">
        <f>1+Assumptions!$B$11+INDEX(Assumptions!$B$12:$B$15,D183)*Assumptions!$B$16</f>
        <v>1.35</v>
      </c>
      <c r="K183" s="82">
        <f t="shared" si="14"/>
        <v>139050</v>
      </c>
      <c r="L183" s="100">
        <f>IF(E183="Yes",MAX(0,Assumptions!$B$8-G183+1),0)</f>
        <v>5</v>
      </c>
      <c r="M183" s="82">
        <f t="shared" si="15"/>
        <v>57937.5</v>
      </c>
      <c r="N183" s="100">
        <f>MIN(1,SUMIFS(Roster!$N$5:$N$1504,Roster!$B$5:$B$1504,$A183))</f>
        <v>1</v>
      </c>
      <c r="O183" s="100">
        <f>SUMIFS(Roster!$L$5:$L$1504,Roster!$B$5:$B$1504,$A183)</f>
        <v>3</v>
      </c>
      <c r="P183" s="83">
        <f>SUMIFS(Roster!$M$5:$M$1504,Roster!$B$5:$B$1504,$A183)*J183</f>
        <v>34087.5</v>
      </c>
      <c r="Q183" s="83">
        <f>SUMIFS(Roster!$O$5:$O$1504,Roster!$B$5:$B$1504,$A183)*J183</f>
        <v>136350</v>
      </c>
      <c r="R183" s="82">
        <f t="shared" si="16"/>
        <v>136350</v>
      </c>
      <c r="S183" s="82">
        <f t="shared" si="17"/>
        <v>23175</v>
      </c>
      <c r="T183" s="82">
        <f t="shared" si="18"/>
        <v>675</v>
      </c>
      <c r="U183" s="82">
        <f t="shared" si="19"/>
        <v>0</v>
      </c>
      <c r="V183" s="83">
        <f>IF(COUNTIFS(Roster!$B$5:$B$1504,$A183,Roster!$G$5:$G$1504,"&gt;0")=0,0,SUMIFS(Roster!$H$5:$H$1504,Roster!$B$5:$B$1504,$A183,Roster!$G$5:$G$1504,_xlfn.MAXIFS(Roster!$G$5:$G$1504,Roster!$B$5:$B$1504,$A183)))</f>
        <v>0</v>
      </c>
      <c r="W183" s="101" t="str">
        <f t="shared" si="20"/>
        <v>Filled</v>
      </c>
    </row>
    <row r="184" spans="1:23" x14ac:dyDescent="0.25">
      <c r="A184" s="76" t="s">
        <v>589</v>
      </c>
      <c r="B184" s="76" t="s">
        <v>363</v>
      </c>
      <c r="C184" s="76" t="s">
        <v>590</v>
      </c>
      <c r="D184" s="97">
        <v>2</v>
      </c>
      <c r="E184" s="98" t="s">
        <v>325</v>
      </c>
      <c r="F184" s="78">
        <v>97500</v>
      </c>
      <c r="G184" s="97">
        <v>1</v>
      </c>
      <c r="H184" s="98" t="s">
        <v>399</v>
      </c>
      <c r="J184" s="99">
        <f>1+Assumptions!$B$11+INDEX(Assumptions!$B$12:$B$15,D184)*Assumptions!$B$16</f>
        <v>1.35</v>
      </c>
      <c r="K184" s="82">
        <f t="shared" si="14"/>
        <v>131625</v>
      </c>
      <c r="L184" s="100">
        <f>IF(E184="Yes",MAX(0,Assumptions!$B$8-G184+1),0)</f>
        <v>8</v>
      </c>
      <c r="M184" s="82">
        <f t="shared" si="15"/>
        <v>87750</v>
      </c>
      <c r="N184" s="100">
        <f>MIN(1,SUMIFS(Roster!$N$5:$N$1504,Roster!$B$5:$B$1504,$A184))</f>
        <v>1</v>
      </c>
      <c r="O184" s="100">
        <f>SUMIFS(Roster!$L$5:$L$1504,Roster!$B$5:$B$1504,$A184)</f>
        <v>8</v>
      </c>
      <c r="P184" s="83">
        <f>SUMIFS(Roster!$M$5:$M$1504,Roster!$B$5:$B$1504,$A184)*J184</f>
        <v>88470.000000000015</v>
      </c>
      <c r="Q184" s="83">
        <f>SUMIFS(Roster!$O$5:$O$1504,Roster!$B$5:$B$1504,$A184)*J184</f>
        <v>132705</v>
      </c>
      <c r="R184" s="82">
        <f t="shared" si="16"/>
        <v>132705</v>
      </c>
      <c r="S184" s="82">
        <f t="shared" si="17"/>
        <v>0</v>
      </c>
      <c r="T184" s="82">
        <f t="shared" si="18"/>
        <v>-720.00000000001455</v>
      </c>
      <c r="U184" s="82">
        <f t="shared" si="19"/>
        <v>0</v>
      </c>
      <c r="V184" s="83">
        <f>IF(COUNTIFS(Roster!$B$5:$B$1504,$A184,Roster!$G$5:$G$1504,"&gt;0")=0,0,SUMIFS(Roster!$H$5:$H$1504,Roster!$B$5:$B$1504,$A184,Roster!$G$5:$G$1504,_xlfn.MAXIFS(Roster!$G$5:$G$1504,Roster!$B$5:$B$1504,$A184)))</f>
        <v>0</v>
      </c>
      <c r="W184" s="101" t="str">
        <f t="shared" si="20"/>
        <v>Filled</v>
      </c>
    </row>
    <row r="185" spans="1:23" x14ac:dyDescent="0.25">
      <c r="A185" s="76" t="s">
        <v>591</v>
      </c>
      <c r="B185" s="76" t="s">
        <v>363</v>
      </c>
      <c r="C185" s="76" t="s">
        <v>592</v>
      </c>
      <c r="D185" s="97">
        <v>1</v>
      </c>
      <c r="E185" s="98" t="s">
        <v>325</v>
      </c>
      <c r="F185" s="78">
        <v>68000</v>
      </c>
      <c r="G185" s="97">
        <v>1</v>
      </c>
      <c r="H185" s="98" t="s">
        <v>399</v>
      </c>
      <c r="J185" s="99">
        <f>1+Assumptions!$B$11+INDEX(Assumptions!$B$12:$B$15,D185)*Assumptions!$B$16</f>
        <v>1.3</v>
      </c>
      <c r="K185" s="82">
        <f t="shared" si="14"/>
        <v>88400</v>
      </c>
      <c r="L185" s="100">
        <f>IF(E185="Yes",MAX(0,Assumptions!$B$8-G185+1),0)</f>
        <v>8</v>
      </c>
      <c r="M185" s="82">
        <f t="shared" si="15"/>
        <v>58933.333333333336</v>
      </c>
      <c r="N185" s="100">
        <f>MIN(1,SUMIFS(Roster!$N$5:$N$1504,Roster!$B$5:$B$1504,$A185))</f>
        <v>1</v>
      </c>
      <c r="O185" s="100">
        <f>SUMIFS(Roster!$L$5:$L$1504,Roster!$B$5:$B$1504,$A185)</f>
        <v>8</v>
      </c>
      <c r="P185" s="83">
        <f>SUMIFS(Roster!$M$5:$M$1504,Roster!$B$5:$B$1504,$A185)*J185</f>
        <v>58326.666666666664</v>
      </c>
      <c r="Q185" s="83">
        <f>SUMIFS(Roster!$O$5:$O$1504,Roster!$B$5:$B$1504,$A185)*J185</f>
        <v>87490</v>
      </c>
      <c r="R185" s="82">
        <f t="shared" si="16"/>
        <v>87490</v>
      </c>
      <c r="S185" s="82">
        <f t="shared" si="17"/>
        <v>0</v>
      </c>
      <c r="T185" s="82">
        <f t="shared" si="18"/>
        <v>606.66666666667152</v>
      </c>
      <c r="U185" s="82">
        <f t="shared" si="19"/>
        <v>0</v>
      </c>
      <c r="V185" s="83">
        <f>IF(COUNTIFS(Roster!$B$5:$B$1504,$A185,Roster!$G$5:$G$1504,"&gt;0")=0,0,SUMIFS(Roster!$H$5:$H$1504,Roster!$B$5:$B$1504,$A185,Roster!$G$5:$G$1504,_xlfn.MAXIFS(Roster!$G$5:$G$1504,Roster!$B$5:$B$1504,$A185)))</f>
        <v>0</v>
      </c>
      <c r="W185" s="101" t="str">
        <f t="shared" si="20"/>
        <v>Filled</v>
      </c>
    </row>
    <row r="186" spans="1:23" x14ac:dyDescent="0.25">
      <c r="A186" s="76" t="s">
        <v>593</v>
      </c>
      <c r="B186" s="76" t="s">
        <v>363</v>
      </c>
      <c r="C186" s="76" t="s">
        <v>592</v>
      </c>
      <c r="D186" s="97">
        <v>1</v>
      </c>
      <c r="E186" s="98" t="s">
        <v>325</v>
      </c>
      <c r="F186" s="78">
        <v>56000</v>
      </c>
      <c r="G186" s="97">
        <v>1</v>
      </c>
      <c r="H186" s="98" t="s">
        <v>399</v>
      </c>
      <c r="J186" s="99">
        <f>1+Assumptions!$B$11+INDEX(Assumptions!$B$12:$B$15,D186)*Assumptions!$B$16</f>
        <v>1.3</v>
      </c>
      <c r="K186" s="82">
        <f t="shared" si="14"/>
        <v>72800</v>
      </c>
      <c r="L186" s="100">
        <f>IF(E186="Yes",MAX(0,Assumptions!$B$8-G186+1),0)</f>
        <v>8</v>
      </c>
      <c r="M186" s="82">
        <f t="shared" si="15"/>
        <v>48533.333333333336</v>
      </c>
      <c r="N186" s="100">
        <f>MIN(1,SUMIFS(Roster!$N$5:$N$1504,Roster!$B$5:$B$1504,$A186))</f>
        <v>1</v>
      </c>
      <c r="O186" s="100">
        <f>SUMIFS(Roster!$L$5:$L$1504,Roster!$B$5:$B$1504,$A186)</f>
        <v>8</v>
      </c>
      <c r="P186" s="83">
        <f>SUMIFS(Roster!$M$5:$M$1504,Roster!$B$5:$B$1504,$A186)*J186</f>
        <v>48966.666666666664</v>
      </c>
      <c r="Q186" s="83">
        <f>SUMIFS(Roster!$O$5:$O$1504,Roster!$B$5:$B$1504,$A186)*J186</f>
        <v>73450</v>
      </c>
      <c r="R186" s="82">
        <f t="shared" si="16"/>
        <v>73450</v>
      </c>
      <c r="S186" s="82">
        <f t="shared" si="17"/>
        <v>0</v>
      </c>
      <c r="T186" s="82">
        <f t="shared" si="18"/>
        <v>-433.33333333332848</v>
      </c>
      <c r="U186" s="82">
        <f t="shared" si="19"/>
        <v>0</v>
      </c>
      <c r="V186" s="83">
        <f>IF(COUNTIFS(Roster!$B$5:$B$1504,$A186,Roster!$G$5:$G$1504,"&gt;0")=0,0,SUMIFS(Roster!$H$5:$H$1504,Roster!$B$5:$B$1504,$A186,Roster!$G$5:$G$1504,_xlfn.MAXIFS(Roster!$G$5:$G$1504,Roster!$B$5:$B$1504,$A186)))</f>
        <v>0</v>
      </c>
      <c r="W186" s="101" t="str">
        <f t="shared" si="20"/>
        <v>Filled</v>
      </c>
    </row>
    <row r="187" spans="1:23" x14ac:dyDescent="0.25">
      <c r="A187" s="76" t="s">
        <v>594</v>
      </c>
      <c r="B187" s="76" t="s">
        <v>363</v>
      </c>
      <c r="C187" s="76" t="s">
        <v>592</v>
      </c>
      <c r="D187" s="97">
        <v>1</v>
      </c>
      <c r="E187" s="98" t="s">
        <v>325</v>
      </c>
      <c r="F187" s="78">
        <v>63000</v>
      </c>
      <c r="G187" s="97">
        <v>1</v>
      </c>
      <c r="H187" s="98" t="s">
        <v>399</v>
      </c>
      <c r="J187" s="99">
        <f>1+Assumptions!$B$11+INDEX(Assumptions!$B$12:$B$15,D187)*Assumptions!$B$16</f>
        <v>1.3</v>
      </c>
      <c r="K187" s="82">
        <f t="shared" si="14"/>
        <v>81900</v>
      </c>
      <c r="L187" s="100">
        <f>IF(E187="Yes",MAX(0,Assumptions!$B$8-G187+1),0)</f>
        <v>8</v>
      </c>
      <c r="M187" s="82">
        <f t="shared" si="15"/>
        <v>54600</v>
      </c>
      <c r="N187" s="100">
        <f>MIN(1,SUMIFS(Roster!$N$5:$N$1504,Roster!$B$5:$B$1504,$A187))</f>
        <v>1</v>
      </c>
      <c r="O187" s="100">
        <f>SUMIFS(Roster!$L$5:$L$1504,Roster!$B$5:$B$1504,$A187)</f>
        <v>8</v>
      </c>
      <c r="P187" s="83">
        <f>SUMIFS(Roster!$M$5:$M$1504,Roster!$B$5:$B$1504,$A187)*J187</f>
        <v>54600</v>
      </c>
      <c r="Q187" s="83">
        <f>SUMIFS(Roster!$O$5:$O$1504,Roster!$B$5:$B$1504,$A187)*J187</f>
        <v>81900</v>
      </c>
      <c r="R187" s="82">
        <f t="shared" si="16"/>
        <v>81900</v>
      </c>
      <c r="S187" s="82">
        <f t="shared" si="17"/>
        <v>0</v>
      </c>
      <c r="T187" s="82">
        <f t="shared" si="18"/>
        <v>0</v>
      </c>
      <c r="U187" s="82">
        <f t="shared" si="19"/>
        <v>0</v>
      </c>
      <c r="V187" s="83">
        <f>IF(COUNTIFS(Roster!$B$5:$B$1504,$A187,Roster!$G$5:$G$1504,"&gt;0")=0,0,SUMIFS(Roster!$H$5:$H$1504,Roster!$B$5:$B$1504,$A187,Roster!$G$5:$G$1504,_xlfn.MAXIFS(Roster!$G$5:$G$1504,Roster!$B$5:$B$1504,$A187)))</f>
        <v>0</v>
      </c>
      <c r="W187" s="101" t="str">
        <f t="shared" si="20"/>
        <v>Filled</v>
      </c>
    </row>
    <row r="188" spans="1:23" x14ac:dyDescent="0.25">
      <c r="A188" s="76" t="s">
        <v>595</v>
      </c>
      <c r="B188" s="76" t="s">
        <v>363</v>
      </c>
      <c r="C188" s="76" t="s">
        <v>592</v>
      </c>
      <c r="D188" s="97">
        <v>1</v>
      </c>
      <c r="E188" s="98" t="s">
        <v>325</v>
      </c>
      <c r="F188" s="78">
        <v>69000</v>
      </c>
      <c r="G188" s="97">
        <v>1</v>
      </c>
      <c r="H188" s="98" t="s">
        <v>399</v>
      </c>
      <c r="J188" s="99">
        <f>1+Assumptions!$B$11+INDEX(Assumptions!$B$12:$B$15,D188)*Assumptions!$B$16</f>
        <v>1.3</v>
      </c>
      <c r="K188" s="82">
        <f t="shared" si="14"/>
        <v>89700</v>
      </c>
      <c r="L188" s="100">
        <f>IF(E188="Yes",MAX(0,Assumptions!$B$8-G188+1),0)</f>
        <v>8</v>
      </c>
      <c r="M188" s="82">
        <f t="shared" si="15"/>
        <v>59800</v>
      </c>
      <c r="N188" s="100">
        <f>MIN(1,SUMIFS(Roster!$N$5:$N$1504,Roster!$B$5:$B$1504,$A188))</f>
        <v>1</v>
      </c>
      <c r="O188" s="100">
        <f>SUMIFS(Roster!$L$5:$L$1504,Roster!$B$5:$B$1504,$A188)</f>
        <v>8</v>
      </c>
      <c r="P188" s="83">
        <f>SUMIFS(Roster!$M$5:$M$1504,Roster!$B$5:$B$1504,$A188)*J188</f>
        <v>59886.666666666664</v>
      </c>
      <c r="Q188" s="83">
        <f>SUMIFS(Roster!$O$5:$O$1504,Roster!$B$5:$B$1504,$A188)*J188</f>
        <v>89830</v>
      </c>
      <c r="R188" s="82">
        <f t="shared" si="16"/>
        <v>89830</v>
      </c>
      <c r="S188" s="82">
        <f t="shared" si="17"/>
        <v>0</v>
      </c>
      <c r="T188" s="82">
        <f t="shared" si="18"/>
        <v>-86.666666666664241</v>
      </c>
      <c r="U188" s="82">
        <f t="shared" si="19"/>
        <v>0</v>
      </c>
      <c r="V188" s="83">
        <f>IF(COUNTIFS(Roster!$B$5:$B$1504,$A188,Roster!$G$5:$G$1504,"&gt;0")=0,0,SUMIFS(Roster!$H$5:$H$1504,Roster!$B$5:$B$1504,$A188,Roster!$G$5:$G$1504,_xlfn.MAXIFS(Roster!$G$5:$G$1504,Roster!$B$5:$B$1504,$A188)))</f>
        <v>0</v>
      </c>
      <c r="W188" s="101" t="str">
        <f t="shared" si="20"/>
        <v>Filled</v>
      </c>
    </row>
    <row r="189" spans="1:23" x14ac:dyDescent="0.25">
      <c r="A189" s="76" t="s">
        <v>596</v>
      </c>
      <c r="B189" s="76" t="s">
        <v>363</v>
      </c>
      <c r="C189" s="76" t="s">
        <v>597</v>
      </c>
      <c r="D189" s="97">
        <v>4</v>
      </c>
      <c r="E189" s="98" t="s">
        <v>325</v>
      </c>
      <c r="F189" s="78">
        <v>167000</v>
      </c>
      <c r="G189" s="97">
        <v>1</v>
      </c>
      <c r="H189" s="98" t="s">
        <v>399</v>
      </c>
      <c r="J189" s="99">
        <f>1+Assumptions!$B$11+INDEX(Assumptions!$B$12:$B$15,D189)*Assumptions!$B$16</f>
        <v>1.5</v>
      </c>
      <c r="K189" s="82">
        <f t="shared" si="14"/>
        <v>250500</v>
      </c>
      <c r="L189" s="100">
        <f>IF(E189="Yes",MAX(0,Assumptions!$B$8-G189+1),0)</f>
        <v>8</v>
      </c>
      <c r="M189" s="82">
        <f t="shared" si="15"/>
        <v>167000</v>
      </c>
      <c r="N189" s="100">
        <f>MIN(1,SUMIFS(Roster!$N$5:$N$1504,Roster!$B$5:$B$1504,$A189))</f>
        <v>1</v>
      </c>
      <c r="O189" s="100">
        <f>SUMIFS(Roster!$L$5:$L$1504,Roster!$B$5:$B$1504,$A189)</f>
        <v>8</v>
      </c>
      <c r="P189" s="83">
        <f>SUMIFS(Roster!$M$5:$M$1504,Roster!$B$5:$B$1504,$A189)*J189</f>
        <v>164600</v>
      </c>
      <c r="Q189" s="83">
        <f>SUMIFS(Roster!$O$5:$O$1504,Roster!$B$5:$B$1504,$A189)*J189</f>
        <v>246900</v>
      </c>
      <c r="R189" s="82">
        <f t="shared" si="16"/>
        <v>246900</v>
      </c>
      <c r="S189" s="82">
        <f t="shared" si="17"/>
        <v>0</v>
      </c>
      <c r="T189" s="82">
        <f t="shared" si="18"/>
        <v>2400</v>
      </c>
      <c r="U189" s="82">
        <f t="shared" si="19"/>
        <v>0</v>
      </c>
      <c r="V189" s="83">
        <f>IF(COUNTIFS(Roster!$B$5:$B$1504,$A189,Roster!$G$5:$G$1504,"&gt;0")=0,0,SUMIFS(Roster!$H$5:$H$1504,Roster!$B$5:$B$1504,$A189,Roster!$G$5:$G$1504,_xlfn.MAXIFS(Roster!$G$5:$G$1504,Roster!$B$5:$B$1504,$A189)))</f>
        <v>0</v>
      </c>
      <c r="W189" s="101" t="str">
        <f t="shared" si="20"/>
        <v>Filled</v>
      </c>
    </row>
    <row r="190" spans="1:23" x14ac:dyDescent="0.25">
      <c r="A190" s="76" t="s">
        <v>598</v>
      </c>
      <c r="B190" s="76" t="s">
        <v>363</v>
      </c>
      <c r="C190" s="76" t="s">
        <v>590</v>
      </c>
      <c r="D190" s="97">
        <v>2</v>
      </c>
      <c r="E190" s="98" t="s">
        <v>325</v>
      </c>
      <c r="F190" s="78">
        <v>78000</v>
      </c>
      <c r="G190" s="97">
        <v>1</v>
      </c>
      <c r="H190" s="98" t="s">
        <v>399</v>
      </c>
      <c r="J190" s="99">
        <f>1+Assumptions!$B$11+INDEX(Assumptions!$B$12:$B$15,D190)*Assumptions!$B$16</f>
        <v>1.35</v>
      </c>
      <c r="K190" s="82">
        <f t="shared" si="14"/>
        <v>105300</v>
      </c>
      <c r="L190" s="100">
        <f>IF(E190="Yes",MAX(0,Assumptions!$B$8-G190+1),0)</f>
        <v>8</v>
      </c>
      <c r="M190" s="82">
        <f t="shared" si="15"/>
        <v>70200</v>
      </c>
      <c r="N190" s="100">
        <f>MIN(1,SUMIFS(Roster!$N$5:$N$1504,Roster!$B$5:$B$1504,$A190))</f>
        <v>1</v>
      </c>
      <c r="O190" s="100">
        <f>SUMIFS(Roster!$L$5:$L$1504,Roster!$B$5:$B$1504,$A190)</f>
        <v>8</v>
      </c>
      <c r="P190" s="83">
        <f>SUMIFS(Roster!$M$5:$M$1504,Roster!$B$5:$B$1504,$A190)*J190</f>
        <v>72281.25</v>
      </c>
      <c r="Q190" s="83">
        <f>SUMIFS(Roster!$O$5:$O$1504,Roster!$B$5:$B$1504,$A190)*J190</f>
        <v>112050.00000000001</v>
      </c>
      <c r="R190" s="82">
        <f t="shared" si="16"/>
        <v>112050.00000000001</v>
      </c>
      <c r="S190" s="82">
        <f t="shared" si="17"/>
        <v>0</v>
      </c>
      <c r="T190" s="82">
        <f t="shared" si="18"/>
        <v>-2081.25</v>
      </c>
      <c r="U190" s="82">
        <f t="shared" si="19"/>
        <v>0</v>
      </c>
      <c r="V190" s="83">
        <f>IF(COUNTIFS(Roster!$B$5:$B$1504,$A190,Roster!$G$5:$G$1504,"&gt;0")=0,0,SUMIFS(Roster!$H$5:$H$1504,Roster!$B$5:$B$1504,$A190,Roster!$G$5:$G$1504,_xlfn.MAXIFS(Roster!$G$5:$G$1504,Roster!$B$5:$B$1504,$A190)))</f>
        <v>78700</v>
      </c>
      <c r="W190" s="101" t="str">
        <f t="shared" si="20"/>
        <v>Filled</v>
      </c>
    </row>
    <row r="191" spans="1:23" x14ac:dyDescent="0.25">
      <c r="A191" s="76" t="s">
        <v>599</v>
      </c>
      <c r="B191" s="76" t="s">
        <v>363</v>
      </c>
      <c r="C191" s="76" t="s">
        <v>592</v>
      </c>
      <c r="D191" s="97">
        <v>1</v>
      </c>
      <c r="E191" s="98" t="s">
        <v>325</v>
      </c>
      <c r="F191" s="78">
        <v>55000</v>
      </c>
      <c r="G191" s="97">
        <v>1</v>
      </c>
      <c r="H191" s="98" t="s">
        <v>399</v>
      </c>
      <c r="J191" s="99">
        <f>1+Assumptions!$B$11+INDEX(Assumptions!$B$12:$B$15,D191)*Assumptions!$B$16</f>
        <v>1.3</v>
      </c>
      <c r="K191" s="82">
        <f t="shared" si="14"/>
        <v>71500</v>
      </c>
      <c r="L191" s="100">
        <f>IF(E191="Yes",MAX(0,Assumptions!$B$8-G191+1),0)</f>
        <v>8</v>
      </c>
      <c r="M191" s="82">
        <f t="shared" si="15"/>
        <v>47666.666666666664</v>
      </c>
      <c r="N191" s="100">
        <f>MIN(1,SUMIFS(Roster!$N$5:$N$1504,Roster!$B$5:$B$1504,$A191))</f>
        <v>1</v>
      </c>
      <c r="O191" s="100">
        <f>SUMIFS(Roster!$L$5:$L$1504,Roster!$B$5:$B$1504,$A191)</f>
        <v>8</v>
      </c>
      <c r="P191" s="83">
        <f>SUMIFS(Roster!$M$5:$M$1504,Roster!$B$5:$B$1504,$A191)*J191</f>
        <v>47146.666666666664</v>
      </c>
      <c r="Q191" s="83">
        <f>SUMIFS(Roster!$O$5:$O$1504,Roster!$B$5:$B$1504,$A191)*J191</f>
        <v>70720</v>
      </c>
      <c r="R191" s="82">
        <f t="shared" si="16"/>
        <v>70720</v>
      </c>
      <c r="S191" s="82">
        <f t="shared" si="17"/>
        <v>0</v>
      </c>
      <c r="T191" s="82">
        <f t="shared" si="18"/>
        <v>520</v>
      </c>
      <c r="U191" s="82">
        <f t="shared" si="19"/>
        <v>0</v>
      </c>
      <c r="V191" s="83">
        <f>IF(COUNTIFS(Roster!$B$5:$B$1504,$A191,Roster!$G$5:$G$1504,"&gt;0")=0,0,SUMIFS(Roster!$H$5:$H$1504,Roster!$B$5:$B$1504,$A191,Roster!$G$5:$G$1504,_xlfn.MAXIFS(Roster!$G$5:$G$1504,Roster!$B$5:$B$1504,$A191)))</f>
        <v>0</v>
      </c>
      <c r="W191" s="101" t="str">
        <f t="shared" si="20"/>
        <v>Filled</v>
      </c>
    </row>
    <row r="192" spans="1:23" x14ac:dyDescent="0.25">
      <c r="A192" s="76" t="s">
        <v>600</v>
      </c>
      <c r="B192" s="76" t="s">
        <v>363</v>
      </c>
      <c r="C192" s="76" t="s">
        <v>601</v>
      </c>
      <c r="D192" s="97">
        <v>3</v>
      </c>
      <c r="E192" s="98" t="s">
        <v>325</v>
      </c>
      <c r="F192" s="78">
        <v>131000</v>
      </c>
      <c r="G192" s="97">
        <v>1</v>
      </c>
      <c r="H192" s="98" t="s">
        <v>399</v>
      </c>
      <c r="J192" s="99">
        <f>1+Assumptions!$B$11+INDEX(Assumptions!$B$12:$B$15,D192)*Assumptions!$B$16</f>
        <v>1.4</v>
      </c>
      <c r="K192" s="82">
        <f t="shared" si="14"/>
        <v>183400</v>
      </c>
      <c r="L192" s="100">
        <f>IF(E192="Yes",MAX(0,Assumptions!$B$8-G192+1),0)</f>
        <v>8</v>
      </c>
      <c r="M192" s="82">
        <f t="shared" si="15"/>
        <v>122266.66666666667</v>
      </c>
      <c r="N192" s="100">
        <f>MIN(1,SUMIFS(Roster!$N$5:$N$1504,Roster!$B$5:$B$1504,$A192))</f>
        <v>1</v>
      </c>
      <c r="O192" s="100">
        <f>SUMIFS(Roster!$L$5:$L$1504,Roster!$B$5:$B$1504,$A192)</f>
        <v>8</v>
      </c>
      <c r="P192" s="83">
        <f>SUMIFS(Roster!$M$5:$M$1504,Roster!$B$5:$B$1504,$A192)*J192</f>
        <v>122733.33333333333</v>
      </c>
      <c r="Q192" s="83">
        <f>SUMIFS(Roster!$O$5:$O$1504,Roster!$B$5:$B$1504,$A192)*J192</f>
        <v>184100</v>
      </c>
      <c r="R192" s="82">
        <f t="shared" si="16"/>
        <v>184100</v>
      </c>
      <c r="S192" s="82">
        <f t="shared" si="17"/>
        <v>0</v>
      </c>
      <c r="T192" s="82">
        <f t="shared" si="18"/>
        <v>-466.66666666665697</v>
      </c>
      <c r="U192" s="82">
        <f t="shared" si="19"/>
        <v>0</v>
      </c>
      <c r="V192" s="83">
        <f>IF(COUNTIFS(Roster!$B$5:$B$1504,$A192,Roster!$G$5:$G$1504,"&gt;0")=0,0,SUMIFS(Roster!$H$5:$H$1504,Roster!$B$5:$B$1504,$A192,Roster!$G$5:$G$1504,_xlfn.MAXIFS(Roster!$G$5:$G$1504,Roster!$B$5:$B$1504,$A192)))</f>
        <v>0</v>
      </c>
      <c r="W192" s="101" t="str">
        <f t="shared" si="20"/>
        <v>Filled</v>
      </c>
    </row>
    <row r="193" spans="1:23" x14ac:dyDescent="0.25">
      <c r="A193" s="76" t="s">
        <v>602</v>
      </c>
      <c r="B193" s="76" t="s">
        <v>363</v>
      </c>
      <c r="C193" s="76" t="s">
        <v>590</v>
      </c>
      <c r="D193" s="97">
        <v>2</v>
      </c>
      <c r="E193" s="98" t="s">
        <v>325</v>
      </c>
      <c r="F193" s="78">
        <v>81500</v>
      </c>
      <c r="G193" s="97">
        <v>1</v>
      </c>
      <c r="H193" s="98" t="s">
        <v>399</v>
      </c>
      <c r="J193" s="99">
        <f>1+Assumptions!$B$11+INDEX(Assumptions!$B$12:$B$15,D193)*Assumptions!$B$16</f>
        <v>1.35</v>
      </c>
      <c r="K193" s="82">
        <f t="shared" si="14"/>
        <v>110025</v>
      </c>
      <c r="L193" s="100">
        <f>IF(E193="Yes",MAX(0,Assumptions!$B$8-G193+1),0)</f>
        <v>8</v>
      </c>
      <c r="M193" s="82">
        <f t="shared" si="15"/>
        <v>73350</v>
      </c>
      <c r="N193" s="100">
        <f>MIN(1,SUMIFS(Roster!$N$5:$N$1504,Roster!$B$5:$B$1504,$A193))</f>
        <v>1</v>
      </c>
      <c r="O193" s="100">
        <f>SUMIFS(Roster!$L$5:$L$1504,Roster!$B$5:$B$1504,$A193)</f>
        <v>8</v>
      </c>
      <c r="P193" s="83">
        <f>SUMIFS(Roster!$M$5:$M$1504,Roster!$B$5:$B$1504,$A193)*J193</f>
        <v>73170</v>
      </c>
      <c r="Q193" s="83">
        <f>SUMIFS(Roster!$O$5:$O$1504,Roster!$B$5:$B$1504,$A193)*J193</f>
        <v>109755</v>
      </c>
      <c r="R193" s="82">
        <f t="shared" si="16"/>
        <v>109755</v>
      </c>
      <c r="S193" s="82">
        <f t="shared" si="17"/>
        <v>0</v>
      </c>
      <c r="T193" s="82">
        <f t="shared" si="18"/>
        <v>180</v>
      </c>
      <c r="U193" s="82">
        <f t="shared" si="19"/>
        <v>0</v>
      </c>
      <c r="V193" s="83">
        <f>IF(COUNTIFS(Roster!$B$5:$B$1504,$A193,Roster!$G$5:$G$1504,"&gt;0")=0,0,SUMIFS(Roster!$H$5:$H$1504,Roster!$B$5:$B$1504,$A193,Roster!$G$5:$G$1504,_xlfn.MAXIFS(Roster!$G$5:$G$1504,Roster!$B$5:$B$1504,$A193)))</f>
        <v>0</v>
      </c>
      <c r="W193" s="101" t="str">
        <f t="shared" si="20"/>
        <v>Filled</v>
      </c>
    </row>
    <row r="194" spans="1:23" x14ac:dyDescent="0.25">
      <c r="A194" s="76" t="s">
        <v>603</v>
      </c>
      <c r="B194" s="76" t="s">
        <v>363</v>
      </c>
      <c r="C194" s="76" t="s">
        <v>592</v>
      </c>
      <c r="D194" s="97">
        <v>1</v>
      </c>
      <c r="E194" s="98" t="s">
        <v>325</v>
      </c>
      <c r="F194" s="78">
        <v>65000</v>
      </c>
      <c r="G194" s="97">
        <v>1</v>
      </c>
      <c r="H194" s="98" t="s">
        <v>399</v>
      </c>
      <c r="J194" s="99">
        <f>1+Assumptions!$B$11+INDEX(Assumptions!$B$12:$B$15,D194)*Assumptions!$B$16</f>
        <v>1.3</v>
      </c>
      <c r="K194" s="82">
        <f t="shared" si="14"/>
        <v>84500</v>
      </c>
      <c r="L194" s="100">
        <f>IF(E194="Yes",MAX(0,Assumptions!$B$8-G194+1),0)</f>
        <v>8</v>
      </c>
      <c r="M194" s="82">
        <f t="shared" si="15"/>
        <v>56333.333333333336</v>
      </c>
      <c r="N194" s="100">
        <f>MIN(1,SUMIFS(Roster!$N$5:$N$1504,Roster!$B$5:$B$1504,$A194))</f>
        <v>1</v>
      </c>
      <c r="O194" s="100">
        <f>SUMIFS(Roster!$L$5:$L$1504,Roster!$B$5:$B$1504,$A194)</f>
        <v>8</v>
      </c>
      <c r="P194" s="83">
        <f>SUMIFS(Roster!$M$5:$M$1504,Roster!$B$5:$B$1504,$A194)*J194</f>
        <v>55640</v>
      </c>
      <c r="Q194" s="83">
        <f>SUMIFS(Roster!$O$5:$O$1504,Roster!$B$5:$B$1504,$A194)*J194</f>
        <v>83460</v>
      </c>
      <c r="R194" s="82">
        <f t="shared" si="16"/>
        <v>83460</v>
      </c>
      <c r="S194" s="82">
        <f t="shared" si="17"/>
        <v>0</v>
      </c>
      <c r="T194" s="82">
        <f t="shared" si="18"/>
        <v>693.33333333333576</v>
      </c>
      <c r="U194" s="82">
        <f t="shared" si="19"/>
        <v>0</v>
      </c>
      <c r="V194" s="83">
        <f>IF(COUNTIFS(Roster!$B$5:$B$1504,$A194,Roster!$G$5:$G$1504,"&gt;0")=0,0,SUMIFS(Roster!$H$5:$H$1504,Roster!$B$5:$B$1504,$A194,Roster!$G$5:$G$1504,_xlfn.MAXIFS(Roster!$G$5:$G$1504,Roster!$B$5:$B$1504,$A194)))</f>
        <v>0</v>
      </c>
      <c r="W194" s="101" t="str">
        <f t="shared" si="20"/>
        <v>Filled</v>
      </c>
    </row>
    <row r="195" spans="1:23" x14ac:dyDescent="0.25">
      <c r="A195" s="76" t="s">
        <v>604</v>
      </c>
      <c r="B195" s="76" t="s">
        <v>363</v>
      </c>
      <c r="C195" s="76" t="s">
        <v>601</v>
      </c>
      <c r="D195" s="97">
        <v>3</v>
      </c>
      <c r="E195" s="98" t="s">
        <v>325</v>
      </c>
      <c r="F195" s="78">
        <v>124500</v>
      </c>
      <c r="G195" s="97">
        <v>1</v>
      </c>
      <c r="H195" s="98" t="s">
        <v>399</v>
      </c>
      <c r="J195" s="99">
        <f>1+Assumptions!$B$11+INDEX(Assumptions!$B$12:$B$15,D195)*Assumptions!$B$16</f>
        <v>1.4</v>
      </c>
      <c r="K195" s="82">
        <f t="shared" si="14"/>
        <v>174300</v>
      </c>
      <c r="L195" s="100">
        <f>IF(E195="Yes",MAX(0,Assumptions!$B$8-G195+1),0)</f>
        <v>8</v>
      </c>
      <c r="M195" s="82">
        <f t="shared" si="15"/>
        <v>116200</v>
      </c>
      <c r="N195" s="100">
        <f>MIN(1,SUMIFS(Roster!$N$5:$N$1504,Roster!$B$5:$B$1504,$A195))</f>
        <v>1</v>
      </c>
      <c r="O195" s="100">
        <f>SUMIFS(Roster!$L$5:$L$1504,Roster!$B$5:$B$1504,$A195)</f>
        <v>8</v>
      </c>
      <c r="P195" s="83">
        <f>SUMIFS(Roster!$M$5:$M$1504,Roster!$B$5:$B$1504,$A195)*J195</f>
        <v>117133.33333333333</v>
      </c>
      <c r="Q195" s="83">
        <f>SUMIFS(Roster!$O$5:$O$1504,Roster!$B$5:$B$1504,$A195)*J195</f>
        <v>175700</v>
      </c>
      <c r="R195" s="82">
        <f t="shared" si="16"/>
        <v>175700</v>
      </c>
      <c r="S195" s="82">
        <f t="shared" si="17"/>
        <v>0</v>
      </c>
      <c r="T195" s="82">
        <f t="shared" si="18"/>
        <v>-933.33333333332848</v>
      </c>
      <c r="U195" s="82">
        <f t="shared" si="19"/>
        <v>0</v>
      </c>
      <c r="V195" s="83">
        <f>IF(COUNTIFS(Roster!$B$5:$B$1504,$A195,Roster!$G$5:$G$1504,"&gt;0")=0,0,SUMIFS(Roster!$H$5:$H$1504,Roster!$B$5:$B$1504,$A195,Roster!$G$5:$G$1504,_xlfn.MAXIFS(Roster!$G$5:$G$1504,Roster!$B$5:$B$1504,$A195)))</f>
        <v>0</v>
      </c>
      <c r="W195" s="101" t="str">
        <f t="shared" si="20"/>
        <v>Filled</v>
      </c>
    </row>
    <row r="196" spans="1:23" x14ac:dyDescent="0.25">
      <c r="A196" s="76" t="s">
        <v>605</v>
      </c>
      <c r="B196" s="76" t="s">
        <v>363</v>
      </c>
      <c r="C196" s="76" t="s">
        <v>592</v>
      </c>
      <c r="D196" s="97">
        <v>1</v>
      </c>
      <c r="E196" s="98" t="s">
        <v>325</v>
      </c>
      <c r="F196" s="78">
        <v>53000</v>
      </c>
      <c r="G196" s="97">
        <v>1</v>
      </c>
      <c r="H196" s="98" t="s">
        <v>399</v>
      </c>
      <c r="J196" s="99">
        <f>1+Assumptions!$B$11+INDEX(Assumptions!$B$12:$B$15,D196)*Assumptions!$B$16</f>
        <v>1.3</v>
      </c>
      <c r="K196" s="82">
        <f t="shared" si="14"/>
        <v>68900</v>
      </c>
      <c r="L196" s="100">
        <f>IF(E196="Yes",MAX(0,Assumptions!$B$8-G196+1),0)</f>
        <v>8</v>
      </c>
      <c r="M196" s="82">
        <f t="shared" si="15"/>
        <v>45933.333333333336</v>
      </c>
      <c r="N196" s="100">
        <f>MIN(1,SUMIFS(Roster!$N$5:$N$1504,Roster!$B$5:$B$1504,$A196))</f>
        <v>1</v>
      </c>
      <c r="O196" s="100">
        <f>SUMIFS(Roster!$L$5:$L$1504,Roster!$B$5:$B$1504,$A196)</f>
        <v>8</v>
      </c>
      <c r="P196" s="83">
        <f>SUMIFS(Roster!$M$5:$M$1504,Roster!$B$5:$B$1504,$A196)*J196</f>
        <v>45413.333333333336</v>
      </c>
      <c r="Q196" s="83">
        <f>SUMIFS(Roster!$O$5:$O$1504,Roster!$B$5:$B$1504,$A196)*J196</f>
        <v>68120</v>
      </c>
      <c r="R196" s="82">
        <f t="shared" si="16"/>
        <v>68120</v>
      </c>
      <c r="S196" s="82">
        <f t="shared" si="17"/>
        <v>0</v>
      </c>
      <c r="T196" s="82">
        <f t="shared" si="18"/>
        <v>520</v>
      </c>
      <c r="U196" s="82">
        <f t="shared" si="19"/>
        <v>0</v>
      </c>
      <c r="V196" s="83">
        <f>IF(COUNTIFS(Roster!$B$5:$B$1504,$A196,Roster!$G$5:$G$1504,"&gt;0")=0,0,SUMIFS(Roster!$H$5:$H$1504,Roster!$B$5:$B$1504,$A196,Roster!$G$5:$G$1504,_xlfn.MAXIFS(Roster!$G$5:$G$1504,Roster!$B$5:$B$1504,$A196)))</f>
        <v>0</v>
      </c>
      <c r="W196" s="101" t="str">
        <f t="shared" si="20"/>
        <v>Filled</v>
      </c>
    </row>
    <row r="197" spans="1:23" x14ac:dyDescent="0.25">
      <c r="A197" s="76" t="s">
        <v>606</v>
      </c>
      <c r="B197" s="76" t="s">
        <v>363</v>
      </c>
      <c r="C197" s="76" t="s">
        <v>592</v>
      </c>
      <c r="D197" s="97">
        <v>1</v>
      </c>
      <c r="E197" s="98" t="s">
        <v>325</v>
      </c>
      <c r="F197" s="78">
        <v>52500</v>
      </c>
      <c r="G197" s="97">
        <v>1</v>
      </c>
      <c r="H197" s="98" t="s">
        <v>399</v>
      </c>
      <c r="J197" s="99">
        <f>1+Assumptions!$B$11+INDEX(Assumptions!$B$12:$B$15,D197)*Assumptions!$B$16</f>
        <v>1.3</v>
      </c>
      <c r="K197" s="82">
        <f t="shared" ref="K197:K260" si="21">IF(E197="Yes",F197*J197,0)</f>
        <v>68250</v>
      </c>
      <c r="L197" s="100">
        <f>IF(E197="Yes",MAX(0,Assumptions!$B$8-G197+1),0)</f>
        <v>8</v>
      </c>
      <c r="M197" s="82">
        <f t="shared" ref="M197:M260" si="22">K197/12*L197</f>
        <v>45500</v>
      </c>
      <c r="N197" s="100">
        <f>MIN(1,SUMIFS(Roster!$N$5:$N$1504,Roster!$B$5:$B$1504,$A197))</f>
        <v>1</v>
      </c>
      <c r="O197" s="100">
        <f>SUMIFS(Roster!$L$5:$L$1504,Roster!$B$5:$B$1504,$A197)</f>
        <v>8</v>
      </c>
      <c r="P197" s="83">
        <f>SUMIFS(Roster!$M$5:$M$1504,Roster!$B$5:$B$1504,$A197)*J197</f>
        <v>46106.666666666664</v>
      </c>
      <c r="Q197" s="83">
        <f>SUMIFS(Roster!$O$5:$O$1504,Roster!$B$5:$B$1504,$A197)*J197</f>
        <v>69160</v>
      </c>
      <c r="R197" s="82">
        <f t="shared" ref="R197:R260" si="23">IF(N197=1,Q197,IF(AND(E197="Yes",H197="Fill"),K197,0))</f>
        <v>69160</v>
      </c>
      <c r="S197" s="82">
        <f t="shared" ref="S197:S260" si="24">(L197-O197)*K197/12</f>
        <v>0</v>
      </c>
      <c r="T197" s="82">
        <f t="shared" ref="T197:T260" si="25">IF(E197="Yes",O197*K197/12-P197,0)</f>
        <v>-606.66666666666424</v>
      </c>
      <c r="U197" s="82">
        <f t="shared" ref="U197:U260" si="26">IF(E197="No",-P197,0)</f>
        <v>0</v>
      </c>
      <c r="V197" s="83">
        <f>IF(COUNTIFS(Roster!$B$5:$B$1504,$A197,Roster!$G$5:$G$1504,"&gt;0")=0,0,SUMIFS(Roster!$H$5:$H$1504,Roster!$B$5:$B$1504,$A197,Roster!$G$5:$G$1504,_xlfn.MAXIFS(Roster!$G$5:$G$1504,Roster!$B$5:$B$1504,$A197)))</f>
        <v>0</v>
      </c>
      <c r="W197" s="101" t="str">
        <f t="shared" ref="W197:W260" si="27">IF(N197=1,IF(E197="Yes","Filled","Unbudgeted hire"),IF(E197="Yes",IF(H197="Hold","Open: on hold","Open: to fill"),"Unbudgeted (left)"))</f>
        <v>Filled</v>
      </c>
    </row>
    <row r="198" spans="1:23" x14ac:dyDescent="0.25">
      <c r="A198" s="76" t="s">
        <v>607</v>
      </c>
      <c r="B198" s="76" t="s">
        <v>363</v>
      </c>
      <c r="C198" s="76" t="s">
        <v>592</v>
      </c>
      <c r="D198" s="97">
        <v>1</v>
      </c>
      <c r="E198" s="98" t="s">
        <v>325</v>
      </c>
      <c r="F198" s="78">
        <v>55500</v>
      </c>
      <c r="G198" s="97">
        <v>1</v>
      </c>
      <c r="H198" s="98" t="s">
        <v>399</v>
      </c>
      <c r="J198" s="99">
        <f>1+Assumptions!$B$11+INDEX(Assumptions!$B$12:$B$15,D198)*Assumptions!$B$16</f>
        <v>1.3</v>
      </c>
      <c r="K198" s="82">
        <f t="shared" si="21"/>
        <v>72150</v>
      </c>
      <c r="L198" s="100">
        <f>IF(E198="Yes",MAX(0,Assumptions!$B$8-G198+1),0)</f>
        <v>8</v>
      </c>
      <c r="M198" s="82">
        <f t="shared" si="22"/>
        <v>48100</v>
      </c>
      <c r="N198" s="100">
        <f>MIN(1,SUMIFS(Roster!$N$5:$N$1504,Roster!$B$5:$B$1504,$A198))</f>
        <v>1</v>
      </c>
      <c r="O198" s="100">
        <f>SUMIFS(Roster!$L$5:$L$1504,Roster!$B$5:$B$1504,$A198)</f>
        <v>8</v>
      </c>
      <c r="P198" s="83">
        <f>SUMIFS(Roster!$M$5:$M$1504,Roster!$B$5:$B$1504,$A198)*J198</f>
        <v>48186.666666666664</v>
      </c>
      <c r="Q198" s="83">
        <f>SUMIFS(Roster!$O$5:$O$1504,Roster!$B$5:$B$1504,$A198)*J198</f>
        <v>72280</v>
      </c>
      <c r="R198" s="82">
        <f t="shared" si="23"/>
        <v>72280</v>
      </c>
      <c r="S198" s="82">
        <f t="shared" si="24"/>
        <v>0</v>
      </c>
      <c r="T198" s="82">
        <f t="shared" si="25"/>
        <v>-86.666666666664241</v>
      </c>
      <c r="U198" s="82">
        <f t="shared" si="26"/>
        <v>0</v>
      </c>
      <c r="V198" s="83">
        <f>IF(COUNTIFS(Roster!$B$5:$B$1504,$A198,Roster!$G$5:$G$1504,"&gt;0")=0,0,SUMIFS(Roster!$H$5:$H$1504,Roster!$B$5:$B$1504,$A198,Roster!$G$5:$G$1504,_xlfn.MAXIFS(Roster!$G$5:$G$1504,Roster!$B$5:$B$1504,$A198)))</f>
        <v>0</v>
      </c>
      <c r="W198" s="101" t="str">
        <f t="shared" si="27"/>
        <v>Filled</v>
      </c>
    </row>
    <row r="199" spans="1:23" x14ac:dyDescent="0.25">
      <c r="A199" s="76" t="s">
        <v>608</v>
      </c>
      <c r="B199" s="76" t="s">
        <v>363</v>
      </c>
      <c r="C199" s="76" t="s">
        <v>592</v>
      </c>
      <c r="D199" s="97">
        <v>1</v>
      </c>
      <c r="E199" s="98" t="s">
        <v>325</v>
      </c>
      <c r="F199" s="78">
        <v>68500</v>
      </c>
      <c r="G199" s="97">
        <v>1</v>
      </c>
      <c r="H199" s="98" t="s">
        <v>399</v>
      </c>
      <c r="J199" s="99">
        <f>1+Assumptions!$B$11+INDEX(Assumptions!$B$12:$B$15,D199)*Assumptions!$B$16</f>
        <v>1.3</v>
      </c>
      <c r="K199" s="82">
        <f t="shared" si="21"/>
        <v>89050</v>
      </c>
      <c r="L199" s="100">
        <f>IF(E199="Yes",MAX(0,Assumptions!$B$8-G199+1),0)</f>
        <v>8</v>
      </c>
      <c r="M199" s="82">
        <f t="shared" si="22"/>
        <v>59366.666666666664</v>
      </c>
      <c r="N199" s="100">
        <f>MIN(1,SUMIFS(Roster!$N$5:$N$1504,Roster!$B$5:$B$1504,$A199))</f>
        <v>1</v>
      </c>
      <c r="O199" s="100">
        <f>SUMIFS(Roster!$L$5:$L$1504,Roster!$B$5:$B$1504,$A199)</f>
        <v>8</v>
      </c>
      <c r="P199" s="83">
        <f>SUMIFS(Roster!$M$5:$M$1504,Roster!$B$5:$B$1504,$A199)*J199</f>
        <v>59800</v>
      </c>
      <c r="Q199" s="83">
        <f>SUMIFS(Roster!$O$5:$O$1504,Roster!$B$5:$B$1504,$A199)*J199</f>
        <v>89700</v>
      </c>
      <c r="R199" s="82">
        <f t="shared" si="23"/>
        <v>89700</v>
      </c>
      <c r="S199" s="82">
        <f t="shared" si="24"/>
        <v>0</v>
      </c>
      <c r="T199" s="82">
        <f t="shared" si="25"/>
        <v>-433.33333333333576</v>
      </c>
      <c r="U199" s="82">
        <f t="shared" si="26"/>
        <v>0</v>
      </c>
      <c r="V199" s="83">
        <f>IF(COUNTIFS(Roster!$B$5:$B$1504,$A199,Roster!$G$5:$G$1504,"&gt;0")=0,0,SUMIFS(Roster!$H$5:$H$1504,Roster!$B$5:$B$1504,$A199,Roster!$G$5:$G$1504,_xlfn.MAXIFS(Roster!$G$5:$G$1504,Roster!$B$5:$B$1504,$A199)))</f>
        <v>0</v>
      </c>
      <c r="W199" s="101" t="str">
        <f t="shared" si="27"/>
        <v>Filled</v>
      </c>
    </row>
    <row r="200" spans="1:23" x14ac:dyDescent="0.25">
      <c r="A200" s="76" t="s">
        <v>609</v>
      </c>
      <c r="B200" s="76" t="s">
        <v>363</v>
      </c>
      <c r="C200" s="76" t="s">
        <v>601</v>
      </c>
      <c r="D200" s="97">
        <v>3</v>
      </c>
      <c r="E200" s="98" t="s">
        <v>325</v>
      </c>
      <c r="F200" s="78">
        <v>124000</v>
      </c>
      <c r="G200" s="97">
        <v>1</v>
      </c>
      <c r="H200" s="98" t="s">
        <v>399</v>
      </c>
      <c r="J200" s="99">
        <f>1+Assumptions!$B$11+INDEX(Assumptions!$B$12:$B$15,D200)*Assumptions!$B$16</f>
        <v>1.4</v>
      </c>
      <c r="K200" s="82">
        <f t="shared" si="21"/>
        <v>173600</v>
      </c>
      <c r="L200" s="100">
        <f>IF(E200="Yes",MAX(0,Assumptions!$B$8-G200+1),0)</f>
        <v>8</v>
      </c>
      <c r="M200" s="82">
        <f t="shared" si="22"/>
        <v>115733.33333333333</v>
      </c>
      <c r="N200" s="100">
        <f>MIN(1,SUMIFS(Roster!$N$5:$N$1504,Roster!$B$5:$B$1504,$A200))</f>
        <v>1</v>
      </c>
      <c r="O200" s="100">
        <f>SUMIFS(Roster!$L$5:$L$1504,Roster!$B$5:$B$1504,$A200)</f>
        <v>8</v>
      </c>
      <c r="P200" s="83">
        <f>SUMIFS(Roster!$M$5:$M$1504,Roster!$B$5:$B$1504,$A200)*J200</f>
        <v>116759.99999999999</v>
      </c>
      <c r="Q200" s="83">
        <f>SUMIFS(Roster!$O$5:$O$1504,Roster!$B$5:$B$1504,$A200)*J200</f>
        <v>175140</v>
      </c>
      <c r="R200" s="82">
        <f t="shared" si="23"/>
        <v>175140</v>
      </c>
      <c r="S200" s="82">
        <f t="shared" si="24"/>
        <v>0</v>
      </c>
      <c r="T200" s="82">
        <f t="shared" si="25"/>
        <v>-1026.666666666657</v>
      </c>
      <c r="U200" s="82">
        <f t="shared" si="26"/>
        <v>0</v>
      </c>
      <c r="V200" s="83">
        <f>IF(COUNTIFS(Roster!$B$5:$B$1504,$A200,Roster!$G$5:$G$1504,"&gt;0")=0,0,SUMIFS(Roster!$H$5:$H$1504,Roster!$B$5:$B$1504,$A200,Roster!$G$5:$G$1504,_xlfn.MAXIFS(Roster!$G$5:$G$1504,Roster!$B$5:$B$1504,$A200)))</f>
        <v>0</v>
      </c>
      <c r="W200" s="101" t="str">
        <f t="shared" si="27"/>
        <v>Filled</v>
      </c>
    </row>
    <row r="201" spans="1:23" x14ac:dyDescent="0.25">
      <c r="A201" s="76" t="s">
        <v>610</v>
      </c>
      <c r="B201" s="76" t="s">
        <v>363</v>
      </c>
      <c r="C201" s="76" t="s">
        <v>592</v>
      </c>
      <c r="D201" s="97">
        <v>1</v>
      </c>
      <c r="E201" s="98" t="s">
        <v>325</v>
      </c>
      <c r="F201" s="78">
        <v>53500</v>
      </c>
      <c r="G201" s="97">
        <v>1</v>
      </c>
      <c r="H201" s="98" t="s">
        <v>399</v>
      </c>
      <c r="J201" s="99">
        <f>1+Assumptions!$B$11+INDEX(Assumptions!$B$12:$B$15,D201)*Assumptions!$B$16</f>
        <v>1.3</v>
      </c>
      <c r="K201" s="82">
        <f t="shared" si="21"/>
        <v>69550</v>
      </c>
      <c r="L201" s="100">
        <f>IF(E201="Yes",MAX(0,Assumptions!$B$8-G201+1),0)</f>
        <v>8</v>
      </c>
      <c r="M201" s="82">
        <f t="shared" si="22"/>
        <v>46366.666666666664</v>
      </c>
      <c r="N201" s="100">
        <f>MIN(1,SUMIFS(Roster!$N$5:$N$1504,Roster!$B$5:$B$1504,$A201))</f>
        <v>1</v>
      </c>
      <c r="O201" s="100">
        <f>SUMIFS(Roster!$L$5:$L$1504,Roster!$B$5:$B$1504,$A201)</f>
        <v>8</v>
      </c>
      <c r="P201" s="83">
        <f>SUMIFS(Roster!$M$5:$M$1504,Roster!$B$5:$B$1504,$A201)*J201</f>
        <v>47060</v>
      </c>
      <c r="Q201" s="83">
        <f>SUMIFS(Roster!$O$5:$O$1504,Roster!$B$5:$B$1504,$A201)*J201</f>
        <v>70590</v>
      </c>
      <c r="R201" s="82">
        <f t="shared" si="23"/>
        <v>70590</v>
      </c>
      <c r="S201" s="82">
        <f t="shared" si="24"/>
        <v>0</v>
      </c>
      <c r="T201" s="82">
        <f t="shared" si="25"/>
        <v>-693.33333333333576</v>
      </c>
      <c r="U201" s="82">
        <f t="shared" si="26"/>
        <v>0</v>
      </c>
      <c r="V201" s="83">
        <f>IF(COUNTIFS(Roster!$B$5:$B$1504,$A201,Roster!$G$5:$G$1504,"&gt;0")=0,0,SUMIFS(Roster!$H$5:$H$1504,Roster!$B$5:$B$1504,$A201,Roster!$G$5:$G$1504,_xlfn.MAXIFS(Roster!$G$5:$G$1504,Roster!$B$5:$B$1504,$A201)))</f>
        <v>0</v>
      </c>
      <c r="W201" s="101" t="str">
        <f t="shared" si="27"/>
        <v>Filled</v>
      </c>
    </row>
    <row r="202" spans="1:23" x14ac:dyDescent="0.25">
      <c r="A202" s="76" t="s">
        <v>611</v>
      </c>
      <c r="B202" s="76" t="s">
        <v>363</v>
      </c>
      <c r="C202" s="76" t="s">
        <v>592</v>
      </c>
      <c r="D202" s="97">
        <v>1</v>
      </c>
      <c r="E202" s="98" t="s">
        <v>325</v>
      </c>
      <c r="F202" s="78">
        <v>66000</v>
      </c>
      <c r="G202" s="97">
        <v>1</v>
      </c>
      <c r="H202" s="98" t="s">
        <v>399</v>
      </c>
      <c r="J202" s="99">
        <f>1+Assumptions!$B$11+INDEX(Assumptions!$B$12:$B$15,D202)*Assumptions!$B$16</f>
        <v>1.3</v>
      </c>
      <c r="K202" s="82">
        <f t="shared" si="21"/>
        <v>85800</v>
      </c>
      <c r="L202" s="100">
        <f>IF(E202="Yes",MAX(0,Assumptions!$B$8-G202+1),0)</f>
        <v>8</v>
      </c>
      <c r="M202" s="82">
        <f t="shared" si="22"/>
        <v>57200</v>
      </c>
      <c r="N202" s="100">
        <f>MIN(1,SUMIFS(Roster!$N$5:$N$1504,Roster!$B$5:$B$1504,$A202))</f>
        <v>1</v>
      </c>
      <c r="O202" s="100">
        <f>SUMIFS(Roster!$L$5:$L$1504,Roster!$B$5:$B$1504,$A202)</f>
        <v>8</v>
      </c>
      <c r="P202" s="83">
        <f>SUMIFS(Roster!$M$5:$M$1504,Roster!$B$5:$B$1504,$A202)*J202</f>
        <v>57026.666666666664</v>
      </c>
      <c r="Q202" s="83">
        <f>SUMIFS(Roster!$O$5:$O$1504,Roster!$B$5:$B$1504,$A202)*J202</f>
        <v>85540</v>
      </c>
      <c r="R202" s="82">
        <f t="shared" si="23"/>
        <v>85540</v>
      </c>
      <c r="S202" s="82">
        <f t="shared" si="24"/>
        <v>0</v>
      </c>
      <c r="T202" s="82">
        <f t="shared" si="25"/>
        <v>173.33333333333576</v>
      </c>
      <c r="U202" s="82">
        <f t="shared" si="26"/>
        <v>0</v>
      </c>
      <c r="V202" s="83">
        <f>IF(COUNTIFS(Roster!$B$5:$B$1504,$A202,Roster!$G$5:$G$1504,"&gt;0")=0,0,SUMIFS(Roster!$H$5:$H$1504,Roster!$B$5:$B$1504,$A202,Roster!$G$5:$G$1504,_xlfn.MAXIFS(Roster!$G$5:$G$1504,Roster!$B$5:$B$1504,$A202)))</f>
        <v>0</v>
      </c>
      <c r="W202" s="101" t="str">
        <f t="shared" si="27"/>
        <v>Filled</v>
      </c>
    </row>
    <row r="203" spans="1:23" x14ac:dyDescent="0.25">
      <c r="A203" s="76" t="s">
        <v>612</v>
      </c>
      <c r="B203" s="76" t="s">
        <v>363</v>
      </c>
      <c r="C203" s="76" t="s">
        <v>590</v>
      </c>
      <c r="D203" s="97">
        <v>2</v>
      </c>
      <c r="E203" s="98" t="s">
        <v>325</v>
      </c>
      <c r="F203" s="78">
        <v>74000</v>
      </c>
      <c r="G203" s="97">
        <v>1</v>
      </c>
      <c r="H203" s="98" t="s">
        <v>399</v>
      </c>
      <c r="J203" s="99">
        <f>1+Assumptions!$B$11+INDEX(Assumptions!$B$12:$B$15,D203)*Assumptions!$B$16</f>
        <v>1.35</v>
      </c>
      <c r="K203" s="82">
        <f t="shared" si="21"/>
        <v>99900</v>
      </c>
      <c r="L203" s="100">
        <f>IF(E203="Yes",MAX(0,Assumptions!$B$8-G203+1),0)</f>
        <v>8</v>
      </c>
      <c r="M203" s="82">
        <f t="shared" si="22"/>
        <v>66600</v>
      </c>
      <c r="N203" s="100">
        <f>MIN(1,SUMIFS(Roster!$N$5:$N$1504,Roster!$B$5:$B$1504,$A203))</f>
        <v>1</v>
      </c>
      <c r="O203" s="100">
        <f>SUMIFS(Roster!$L$5:$L$1504,Roster!$B$5:$B$1504,$A203)</f>
        <v>8</v>
      </c>
      <c r="P203" s="83">
        <f>SUMIFS(Roster!$M$5:$M$1504,Roster!$B$5:$B$1504,$A203)*J203</f>
        <v>65610</v>
      </c>
      <c r="Q203" s="83">
        <f>SUMIFS(Roster!$O$5:$O$1504,Roster!$B$5:$B$1504,$A203)*J203</f>
        <v>98415</v>
      </c>
      <c r="R203" s="82">
        <f t="shared" si="23"/>
        <v>98415</v>
      </c>
      <c r="S203" s="82">
        <f t="shared" si="24"/>
        <v>0</v>
      </c>
      <c r="T203" s="82">
        <f t="shared" si="25"/>
        <v>990</v>
      </c>
      <c r="U203" s="82">
        <f t="shared" si="26"/>
        <v>0</v>
      </c>
      <c r="V203" s="83">
        <f>IF(COUNTIFS(Roster!$B$5:$B$1504,$A203,Roster!$G$5:$G$1504,"&gt;0")=0,0,SUMIFS(Roster!$H$5:$H$1504,Roster!$B$5:$B$1504,$A203,Roster!$G$5:$G$1504,_xlfn.MAXIFS(Roster!$G$5:$G$1504,Roster!$B$5:$B$1504,$A203)))</f>
        <v>0</v>
      </c>
      <c r="W203" s="101" t="str">
        <f t="shared" si="27"/>
        <v>Filled</v>
      </c>
    </row>
    <row r="204" spans="1:23" x14ac:dyDescent="0.25">
      <c r="A204" s="76" t="s">
        <v>613</v>
      </c>
      <c r="B204" s="76" t="s">
        <v>363</v>
      </c>
      <c r="C204" s="76" t="s">
        <v>590</v>
      </c>
      <c r="D204" s="97">
        <v>2</v>
      </c>
      <c r="E204" s="98" t="s">
        <v>325</v>
      </c>
      <c r="F204" s="78">
        <v>81000</v>
      </c>
      <c r="G204" s="97">
        <v>1</v>
      </c>
      <c r="H204" s="98" t="s">
        <v>399</v>
      </c>
      <c r="J204" s="99">
        <f>1+Assumptions!$B$11+INDEX(Assumptions!$B$12:$B$15,D204)*Assumptions!$B$16</f>
        <v>1.35</v>
      </c>
      <c r="K204" s="82">
        <f t="shared" si="21"/>
        <v>109350</v>
      </c>
      <c r="L204" s="100">
        <f>IF(E204="Yes",MAX(0,Assumptions!$B$8-G204+1),0)</f>
        <v>8</v>
      </c>
      <c r="M204" s="82">
        <f t="shared" si="22"/>
        <v>72900</v>
      </c>
      <c r="N204" s="100">
        <f>MIN(1,SUMIFS(Roster!$N$5:$N$1504,Roster!$B$5:$B$1504,$A204))</f>
        <v>1</v>
      </c>
      <c r="O204" s="100">
        <f>SUMIFS(Roster!$L$5:$L$1504,Roster!$B$5:$B$1504,$A204)</f>
        <v>8</v>
      </c>
      <c r="P204" s="83">
        <f>SUMIFS(Roster!$M$5:$M$1504,Roster!$B$5:$B$1504,$A204)*J204</f>
        <v>73890.000000000015</v>
      </c>
      <c r="Q204" s="83">
        <f>SUMIFS(Roster!$O$5:$O$1504,Roster!$B$5:$B$1504,$A204)*J204</f>
        <v>110835.00000000001</v>
      </c>
      <c r="R204" s="82">
        <f t="shared" si="23"/>
        <v>110835.00000000001</v>
      </c>
      <c r="S204" s="82">
        <f t="shared" si="24"/>
        <v>0</v>
      </c>
      <c r="T204" s="82">
        <f t="shared" si="25"/>
        <v>-990.00000000001455</v>
      </c>
      <c r="U204" s="82">
        <f t="shared" si="26"/>
        <v>0</v>
      </c>
      <c r="V204" s="83">
        <f>IF(COUNTIFS(Roster!$B$5:$B$1504,$A204,Roster!$G$5:$G$1504,"&gt;0")=0,0,SUMIFS(Roster!$H$5:$H$1504,Roster!$B$5:$B$1504,$A204,Roster!$G$5:$G$1504,_xlfn.MAXIFS(Roster!$G$5:$G$1504,Roster!$B$5:$B$1504,$A204)))</f>
        <v>0</v>
      </c>
      <c r="W204" s="101" t="str">
        <f t="shared" si="27"/>
        <v>Filled</v>
      </c>
    </row>
    <row r="205" spans="1:23" x14ac:dyDescent="0.25">
      <c r="A205" s="76" t="s">
        <v>614</v>
      </c>
      <c r="B205" s="76" t="s">
        <v>363</v>
      </c>
      <c r="C205" s="76" t="s">
        <v>592</v>
      </c>
      <c r="D205" s="97">
        <v>1</v>
      </c>
      <c r="E205" s="98" t="s">
        <v>325</v>
      </c>
      <c r="F205" s="78">
        <v>64000</v>
      </c>
      <c r="G205" s="97">
        <v>1</v>
      </c>
      <c r="H205" s="98" t="s">
        <v>399</v>
      </c>
      <c r="J205" s="99">
        <f>1+Assumptions!$B$11+INDEX(Assumptions!$B$12:$B$15,D205)*Assumptions!$B$16</f>
        <v>1.3</v>
      </c>
      <c r="K205" s="82">
        <f t="shared" si="21"/>
        <v>83200</v>
      </c>
      <c r="L205" s="100">
        <f>IF(E205="Yes",MAX(0,Assumptions!$B$8-G205+1),0)</f>
        <v>8</v>
      </c>
      <c r="M205" s="82">
        <f t="shared" si="22"/>
        <v>55466.666666666664</v>
      </c>
      <c r="N205" s="100">
        <f>MIN(1,SUMIFS(Roster!$N$5:$N$1504,Roster!$B$5:$B$1504,$A205))</f>
        <v>1</v>
      </c>
      <c r="O205" s="100">
        <f>SUMIFS(Roster!$L$5:$L$1504,Roster!$B$5:$B$1504,$A205)</f>
        <v>8</v>
      </c>
      <c r="P205" s="83">
        <f>SUMIFS(Roster!$M$5:$M$1504,Roster!$B$5:$B$1504,$A205)*J205</f>
        <v>55206.666666666664</v>
      </c>
      <c r="Q205" s="83">
        <f>SUMIFS(Roster!$O$5:$O$1504,Roster!$B$5:$B$1504,$A205)*J205</f>
        <v>82810</v>
      </c>
      <c r="R205" s="82">
        <f t="shared" si="23"/>
        <v>82810</v>
      </c>
      <c r="S205" s="82">
        <f t="shared" si="24"/>
        <v>0</v>
      </c>
      <c r="T205" s="82">
        <f t="shared" si="25"/>
        <v>260</v>
      </c>
      <c r="U205" s="82">
        <f t="shared" si="26"/>
        <v>0</v>
      </c>
      <c r="V205" s="83">
        <f>IF(COUNTIFS(Roster!$B$5:$B$1504,$A205,Roster!$G$5:$G$1504,"&gt;0")=0,0,SUMIFS(Roster!$H$5:$H$1504,Roster!$B$5:$B$1504,$A205,Roster!$G$5:$G$1504,_xlfn.MAXIFS(Roster!$G$5:$G$1504,Roster!$B$5:$B$1504,$A205)))</f>
        <v>0</v>
      </c>
      <c r="W205" s="101" t="str">
        <f t="shared" si="27"/>
        <v>Filled</v>
      </c>
    </row>
    <row r="206" spans="1:23" x14ac:dyDescent="0.25">
      <c r="A206" s="76" t="s">
        <v>615</v>
      </c>
      <c r="B206" s="76" t="s">
        <v>363</v>
      </c>
      <c r="C206" s="76" t="s">
        <v>592</v>
      </c>
      <c r="D206" s="97">
        <v>1</v>
      </c>
      <c r="E206" s="98" t="s">
        <v>325</v>
      </c>
      <c r="F206" s="78">
        <v>56000</v>
      </c>
      <c r="G206" s="97">
        <v>1</v>
      </c>
      <c r="H206" s="98" t="s">
        <v>399</v>
      </c>
      <c r="J206" s="99">
        <f>1+Assumptions!$B$11+INDEX(Assumptions!$B$12:$B$15,D206)*Assumptions!$B$16</f>
        <v>1.3</v>
      </c>
      <c r="K206" s="82">
        <f t="shared" si="21"/>
        <v>72800</v>
      </c>
      <c r="L206" s="100">
        <f>IF(E206="Yes",MAX(0,Assumptions!$B$8-G206+1),0)</f>
        <v>8</v>
      </c>
      <c r="M206" s="82">
        <f t="shared" si="22"/>
        <v>48533.333333333336</v>
      </c>
      <c r="N206" s="100">
        <f>MIN(1,SUMIFS(Roster!$N$5:$N$1504,Roster!$B$5:$B$1504,$A206))</f>
        <v>1</v>
      </c>
      <c r="O206" s="100">
        <f>SUMIFS(Roster!$L$5:$L$1504,Roster!$B$5:$B$1504,$A206)</f>
        <v>8</v>
      </c>
      <c r="P206" s="83">
        <f>SUMIFS(Roster!$M$5:$M$1504,Roster!$B$5:$B$1504,$A206)*J206</f>
        <v>48446.666666666664</v>
      </c>
      <c r="Q206" s="83">
        <f>SUMIFS(Roster!$O$5:$O$1504,Roster!$B$5:$B$1504,$A206)*J206</f>
        <v>72670</v>
      </c>
      <c r="R206" s="82">
        <f t="shared" si="23"/>
        <v>72670</v>
      </c>
      <c r="S206" s="82">
        <f t="shared" si="24"/>
        <v>0</v>
      </c>
      <c r="T206" s="82">
        <f t="shared" si="25"/>
        <v>86.666666666671517</v>
      </c>
      <c r="U206" s="82">
        <f t="shared" si="26"/>
        <v>0</v>
      </c>
      <c r="V206" s="83">
        <f>IF(COUNTIFS(Roster!$B$5:$B$1504,$A206,Roster!$G$5:$G$1504,"&gt;0")=0,0,SUMIFS(Roster!$H$5:$H$1504,Roster!$B$5:$B$1504,$A206,Roster!$G$5:$G$1504,_xlfn.MAXIFS(Roster!$G$5:$G$1504,Roster!$B$5:$B$1504,$A206)))</f>
        <v>0</v>
      </c>
      <c r="W206" s="101" t="str">
        <f t="shared" si="27"/>
        <v>Filled</v>
      </c>
    </row>
    <row r="207" spans="1:23" x14ac:dyDescent="0.25">
      <c r="A207" s="76" t="s">
        <v>616</v>
      </c>
      <c r="B207" s="76" t="s">
        <v>363</v>
      </c>
      <c r="C207" s="76" t="s">
        <v>590</v>
      </c>
      <c r="D207" s="97">
        <v>2</v>
      </c>
      <c r="E207" s="98" t="s">
        <v>325</v>
      </c>
      <c r="F207" s="78">
        <v>82000</v>
      </c>
      <c r="G207" s="97">
        <v>1</v>
      </c>
      <c r="H207" s="98" t="s">
        <v>399</v>
      </c>
      <c r="J207" s="99">
        <f>1+Assumptions!$B$11+INDEX(Assumptions!$B$12:$B$15,D207)*Assumptions!$B$16</f>
        <v>1.35</v>
      </c>
      <c r="K207" s="82">
        <f t="shared" si="21"/>
        <v>110700.00000000001</v>
      </c>
      <c r="L207" s="100">
        <f>IF(E207="Yes",MAX(0,Assumptions!$B$8-G207+1),0)</f>
        <v>8</v>
      </c>
      <c r="M207" s="82">
        <f t="shared" si="22"/>
        <v>73800.000000000015</v>
      </c>
      <c r="N207" s="100">
        <f>MIN(1,SUMIFS(Roster!$N$5:$N$1504,Roster!$B$5:$B$1504,$A207))</f>
        <v>1</v>
      </c>
      <c r="O207" s="100">
        <f>SUMIFS(Roster!$L$5:$L$1504,Roster!$B$5:$B$1504,$A207)</f>
        <v>8</v>
      </c>
      <c r="P207" s="83">
        <f>SUMIFS(Roster!$M$5:$M$1504,Roster!$B$5:$B$1504,$A207)*J207</f>
        <v>74250</v>
      </c>
      <c r="Q207" s="83">
        <f>SUMIFS(Roster!$O$5:$O$1504,Roster!$B$5:$B$1504,$A207)*J207</f>
        <v>111375.00000000001</v>
      </c>
      <c r="R207" s="82">
        <f t="shared" si="23"/>
        <v>111375.00000000001</v>
      </c>
      <c r="S207" s="82">
        <f t="shared" si="24"/>
        <v>0</v>
      </c>
      <c r="T207" s="82">
        <f t="shared" si="25"/>
        <v>-449.99999999998545</v>
      </c>
      <c r="U207" s="82">
        <f t="shared" si="26"/>
        <v>0</v>
      </c>
      <c r="V207" s="83">
        <f>IF(COUNTIFS(Roster!$B$5:$B$1504,$A207,Roster!$G$5:$G$1504,"&gt;0")=0,0,SUMIFS(Roster!$H$5:$H$1504,Roster!$B$5:$B$1504,$A207,Roster!$G$5:$G$1504,_xlfn.MAXIFS(Roster!$G$5:$G$1504,Roster!$B$5:$B$1504,$A207)))</f>
        <v>0</v>
      </c>
      <c r="W207" s="101" t="str">
        <f t="shared" si="27"/>
        <v>Filled</v>
      </c>
    </row>
    <row r="208" spans="1:23" x14ac:dyDescent="0.25">
      <c r="A208" s="76" t="s">
        <v>617</v>
      </c>
      <c r="B208" s="76" t="s">
        <v>363</v>
      </c>
      <c r="C208" s="76" t="s">
        <v>590</v>
      </c>
      <c r="D208" s="97">
        <v>2</v>
      </c>
      <c r="E208" s="98" t="s">
        <v>325</v>
      </c>
      <c r="F208" s="78">
        <v>76500</v>
      </c>
      <c r="G208" s="97">
        <v>1</v>
      </c>
      <c r="H208" s="98" t="s">
        <v>399</v>
      </c>
      <c r="J208" s="99">
        <f>1+Assumptions!$B$11+INDEX(Assumptions!$B$12:$B$15,D208)*Assumptions!$B$16</f>
        <v>1.35</v>
      </c>
      <c r="K208" s="82">
        <f t="shared" si="21"/>
        <v>103275</v>
      </c>
      <c r="L208" s="100">
        <f>IF(E208="Yes",MAX(0,Assumptions!$B$8-G208+1),0)</f>
        <v>8</v>
      </c>
      <c r="M208" s="82">
        <f t="shared" si="22"/>
        <v>68850</v>
      </c>
      <c r="N208" s="100">
        <f>MIN(1,SUMIFS(Roster!$N$5:$N$1504,Roster!$B$5:$B$1504,$A208))</f>
        <v>1</v>
      </c>
      <c r="O208" s="100">
        <f>SUMIFS(Roster!$L$5:$L$1504,Roster!$B$5:$B$1504,$A208)</f>
        <v>8</v>
      </c>
      <c r="P208" s="83">
        <f>SUMIFS(Roster!$M$5:$M$1504,Roster!$B$5:$B$1504,$A208)*J208</f>
        <v>68670</v>
      </c>
      <c r="Q208" s="83">
        <f>SUMIFS(Roster!$O$5:$O$1504,Roster!$B$5:$B$1504,$A208)*J208</f>
        <v>103005</v>
      </c>
      <c r="R208" s="82">
        <f t="shared" si="23"/>
        <v>103005</v>
      </c>
      <c r="S208" s="82">
        <f t="shared" si="24"/>
        <v>0</v>
      </c>
      <c r="T208" s="82">
        <f t="shared" si="25"/>
        <v>180</v>
      </c>
      <c r="U208" s="82">
        <f t="shared" si="26"/>
        <v>0</v>
      </c>
      <c r="V208" s="83">
        <f>IF(COUNTIFS(Roster!$B$5:$B$1504,$A208,Roster!$G$5:$G$1504,"&gt;0")=0,0,SUMIFS(Roster!$H$5:$H$1504,Roster!$B$5:$B$1504,$A208,Roster!$G$5:$G$1504,_xlfn.MAXIFS(Roster!$G$5:$G$1504,Roster!$B$5:$B$1504,$A208)))</f>
        <v>0</v>
      </c>
      <c r="W208" s="101" t="str">
        <f t="shared" si="27"/>
        <v>Filled</v>
      </c>
    </row>
    <row r="209" spans="1:23" x14ac:dyDescent="0.25">
      <c r="A209" s="76" t="s">
        <v>618</v>
      </c>
      <c r="B209" s="76" t="s">
        <v>363</v>
      </c>
      <c r="C209" s="76" t="s">
        <v>590</v>
      </c>
      <c r="D209" s="97">
        <v>2</v>
      </c>
      <c r="E209" s="98" t="s">
        <v>325</v>
      </c>
      <c r="F209" s="78">
        <v>85000</v>
      </c>
      <c r="G209" s="97">
        <v>1</v>
      </c>
      <c r="H209" s="98" t="s">
        <v>399</v>
      </c>
      <c r="J209" s="99">
        <f>1+Assumptions!$B$11+INDEX(Assumptions!$B$12:$B$15,D209)*Assumptions!$B$16</f>
        <v>1.35</v>
      </c>
      <c r="K209" s="82">
        <f t="shared" si="21"/>
        <v>114750.00000000001</v>
      </c>
      <c r="L209" s="100">
        <f>IF(E209="Yes",MAX(0,Assumptions!$B$8-G209+1),0)</f>
        <v>8</v>
      </c>
      <c r="M209" s="82">
        <f t="shared" si="22"/>
        <v>76500.000000000015</v>
      </c>
      <c r="N209" s="100">
        <f>MIN(1,SUMIFS(Roster!$N$5:$N$1504,Roster!$B$5:$B$1504,$A209))</f>
        <v>1</v>
      </c>
      <c r="O209" s="100">
        <f>SUMIFS(Roster!$L$5:$L$1504,Roster!$B$5:$B$1504,$A209)</f>
        <v>8</v>
      </c>
      <c r="P209" s="83">
        <f>SUMIFS(Roster!$M$5:$M$1504,Roster!$B$5:$B$1504,$A209)*J209</f>
        <v>77400.000000000015</v>
      </c>
      <c r="Q209" s="83">
        <f>SUMIFS(Roster!$O$5:$O$1504,Roster!$B$5:$B$1504,$A209)*J209</f>
        <v>116100.00000000001</v>
      </c>
      <c r="R209" s="82">
        <f t="shared" si="23"/>
        <v>116100.00000000001</v>
      </c>
      <c r="S209" s="82">
        <f t="shared" si="24"/>
        <v>0</v>
      </c>
      <c r="T209" s="82">
        <f t="shared" si="25"/>
        <v>-900</v>
      </c>
      <c r="U209" s="82">
        <f t="shared" si="26"/>
        <v>0</v>
      </c>
      <c r="V209" s="83">
        <f>IF(COUNTIFS(Roster!$B$5:$B$1504,$A209,Roster!$G$5:$G$1504,"&gt;0")=0,0,SUMIFS(Roster!$H$5:$H$1504,Roster!$B$5:$B$1504,$A209,Roster!$G$5:$G$1504,_xlfn.MAXIFS(Roster!$G$5:$G$1504,Roster!$B$5:$B$1504,$A209)))</f>
        <v>0</v>
      </c>
      <c r="W209" s="101" t="str">
        <f t="shared" si="27"/>
        <v>Filled</v>
      </c>
    </row>
    <row r="210" spans="1:23" x14ac:dyDescent="0.25">
      <c r="A210" s="76" t="s">
        <v>619</v>
      </c>
      <c r="B210" s="76" t="s">
        <v>363</v>
      </c>
      <c r="C210" s="76" t="s">
        <v>592</v>
      </c>
      <c r="D210" s="97">
        <v>1</v>
      </c>
      <c r="E210" s="98" t="s">
        <v>325</v>
      </c>
      <c r="F210" s="78">
        <v>54000</v>
      </c>
      <c r="G210" s="97">
        <v>1</v>
      </c>
      <c r="H210" s="98" t="s">
        <v>399</v>
      </c>
      <c r="J210" s="99">
        <f>1+Assumptions!$B$11+INDEX(Assumptions!$B$12:$B$15,D210)*Assumptions!$B$16</f>
        <v>1.3</v>
      </c>
      <c r="K210" s="82">
        <f t="shared" si="21"/>
        <v>70200</v>
      </c>
      <c r="L210" s="100">
        <f>IF(E210="Yes",MAX(0,Assumptions!$B$8-G210+1),0)</f>
        <v>8</v>
      </c>
      <c r="M210" s="82">
        <f t="shared" si="22"/>
        <v>46800</v>
      </c>
      <c r="N210" s="100">
        <f>MIN(1,SUMIFS(Roster!$N$5:$N$1504,Roster!$B$5:$B$1504,$A210))</f>
        <v>1</v>
      </c>
      <c r="O210" s="100">
        <f>SUMIFS(Roster!$L$5:$L$1504,Roster!$B$5:$B$1504,$A210)</f>
        <v>8</v>
      </c>
      <c r="P210" s="83">
        <f>SUMIFS(Roster!$M$5:$M$1504,Roster!$B$5:$B$1504,$A210)*J210</f>
        <v>47406.666666666664</v>
      </c>
      <c r="Q210" s="83">
        <f>SUMIFS(Roster!$O$5:$O$1504,Roster!$B$5:$B$1504,$A210)*J210</f>
        <v>71110</v>
      </c>
      <c r="R210" s="82">
        <f t="shared" si="23"/>
        <v>71110</v>
      </c>
      <c r="S210" s="82">
        <f t="shared" si="24"/>
        <v>0</v>
      </c>
      <c r="T210" s="82">
        <f t="shared" si="25"/>
        <v>-606.66666666666424</v>
      </c>
      <c r="U210" s="82">
        <f t="shared" si="26"/>
        <v>0</v>
      </c>
      <c r="V210" s="83">
        <f>IF(COUNTIFS(Roster!$B$5:$B$1504,$A210,Roster!$G$5:$G$1504,"&gt;0")=0,0,SUMIFS(Roster!$H$5:$H$1504,Roster!$B$5:$B$1504,$A210,Roster!$G$5:$G$1504,_xlfn.MAXIFS(Roster!$G$5:$G$1504,Roster!$B$5:$B$1504,$A210)))</f>
        <v>0</v>
      </c>
      <c r="W210" s="101" t="str">
        <f t="shared" si="27"/>
        <v>Filled</v>
      </c>
    </row>
    <row r="211" spans="1:23" x14ac:dyDescent="0.25">
      <c r="A211" s="76" t="s">
        <v>620</v>
      </c>
      <c r="B211" s="76" t="s">
        <v>363</v>
      </c>
      <c r="C211" s="76" t="s">
        <v>601</v>
      </c>
      <c r="D211" s="97">
        <v>3</v>
      </c>
      <c r="E211" s="98" t="s">
        <v>325</v>
      </c>
      <c r="F211" s="78">
        <v>132500</v>
      </c>
      <c r="G211" s="97">
        <v>1</v>
      </c>
      <c r="H211" s="98" t="s">
        <v>399</v>
      </c>
      <c r="J211" s="99">
        <f>1+Assumptions!$B$11+INDEX(Assumptions!$B$12:$B$15,D211)*Assumptions!$B$16</f>
        <v>1.4</v>
      </c>
      <c r="K211" s="82">
        <f t="shared" si="21"/>
        <v>185500</v>
      </c>
      <c r="L211" s="100">
        <f>IF(E211="Yes",MAX(0,Assumptions!$B$8-G211+1),0)</f>
        <v>8</v>
      </c>
      <c r="M211" s="82">
        <f t="shared" si="22"/>
        <v>123666.66666666667</v>
      </c>
      <c r="N211" s="100">
        <f>MIN(1,SUMIFS(Roster!$N$5:$N$1504,Roster!$B$5:$B$1504,$A211))</f>
        <v>1</v>
      </c>
      <c r="O211" s="100">
        <f>SUMIFS(Roster!$L$5:$L$1504,Roster!$B$5:$B$1504,$A211)</f>
        <v>8</v>
      </c>
      <c r="P211" s="83">
        <f>SUMIFS(Roster!$M$5:$M$1504,Roster!$B$5:$B$1504,$A211)*J211</f>
        <v>124413.33333333333</v>
      </c>
      <c r="Q211" s="83">
        <f>SUMIFS(Roster!$O$5:$O$1504,Roster!$B$5:$B$1504,$A211)*J211</f>
        <v>186620</v>
      </c>
      <c r="R211" s="82">
        <f t="shared" si="23"/>
        <v>186620</v>
      </c>
      <c r="S211" s="82">
        <f t="shared" si="24"/>
        <v>0</v>
      </c>
      <c r="T211" s="82">
        <f t="shared" si="25"/>
        <v>-746.66666666665697</v>
      </c>
      <c r="U211" s="82">
        <f t="shared" si="26"/>
        <v>0</v>
      </c>
      <c r="V211" s="83">
        <f>IF(COUNTIFS(Roster!$B$5:$B$1504,$A211,Roster!$G$5:$G$1504,"&gt;0")=0,0,SUMIFS(Roster!$H$5:$H$1504,Roster!$B$5:$B$1504,$A211,Roster!$G$5:$G$1504,_xlfn.MAXIFS(Roster!$G$5:$G$1504,Roster!$B$5:$B$1504,$A211)))</f>
        <v>0</v>
      </c>
      <c r="W211" s="101" t="str">
        <f t="shared" si="27"/>
        <v>Filled</v>
      </c>
    </row>
    <row r="212" spans="1:23" x14ac:dyDescent="0.25">
      <c r="A212" s="76" t="s">
        <v>621</v>
      </c>
      <c r="B212" s="76" t="s">
        <v>363</v>
      </c>
      <c r="C212" s="76" t="s">
        <v>590</v>
      </c>
      <c r="D212" s="97">
        <v>2</v>
      </c>
      <c r="E212" s="98" t="s">
        <v>325</v>
      </c>
      <c r="F212" s="78">
        <v>80000</v>
      </c>
      <c r="G212" s="97">
        <v>1</v>
      </c>
      <c r="H212" s="98" t="s">
        <v>399</v>
      </c>
      <c r="J212" s="99">
        <f>1+Assumptions!$B$11+INDEX(Assumptions!$B$12:$B$15,D212)*Assumptions!$B$16</f>
        <v>1.35</v>
      </c>
      <c r="K212" s="82">
        <f t="shared" si="21"/>
        <v>108000</v>
      </c>
      <c r="L212" s="100">
        <f>IF(E212="Yes",MAX(0,Assumptions!$B$8-G212+1),0)</f>
        <v>8</v>
      </c>
      <c r="M212" s="82">
        <f t="shared" si="22"/>
        <v>72000</v>
      </c>
      <c r="N212" s="100">
        <f>MIN(1,SUMIFS(Roster!$N$5:$N$1504,Roster!$B$5:$B$1504,$A212))</f>
        <v>1</v>
      </c>
      <c r="O212" s="100">
        <f>SUMIFS(Roster!$L$5:$L$1504,Roster!$B$5:$B$1504,$A212)</f>
        <v>8</v>
      </c>
      <c r="P212" s="83">
        <f>SUMIFS(Roster!$M$5:$M$1504,Roster!$B$5:$B$1504,$A212)*J212</f>
        <v>71730.000000000015</v>
      </c>
      <c r="Q212" s="83">
        <f>SUMIFS(Roster!$O$5:$O$1504,Roster!$B$5:$B$1504,$A212)*J212</f>
        <v>107595</v>
      </c>
      <c r="R212" s="82">
        <f t="shared" si="23"/>
        <v>107595</v>
      </c>
      <c r="S212" s="82">
        <f t="shared" si="24"/>
        <v>0</v>
      </c>
      <c r="T212" s="82">
        <f t="shared" si="25"/>
        <v>269.99999999998545</v>
      </c>
      <c r="U212" s="82">
        <f t="shared" si="26"/>
        <v>0</v>
      </c>
      <c r="V212" s="83">
        <f>IF(COUNTIFS(Roster!$B$5:$B$1504,$A212,Roster!$G$5:$G$1504,"&gt;0")=0,0,SUMIFS(Roster!$H$5:$H$1504,Roster!$B$5:$B$1504,$A212,Roster!$G$5:$G$1504,_xlfn.MAXIFS(Roster!$G$5:$G$1504,Roster!$B$5:$B$1504,$A212)))</f>
        <v>0</v>
      </c>
      <c r="W212" s="101" t="str">
        <f t="shared" si="27"/>
        <v>Filled</v>
      </c>
    </row>
    <row r="213" spans="1:23" x14ac:dyDescent="0.25">
      <c r="A213" s="76" t="s">
        <v>622</v>
      </c>
      <c r="B213" s="76" t="s">
        <v>363</v>
      </c>
      <c r="C213" s="76" t="s">
        <v>590</v>
      </c>
      <c r="D213" s="97">
        <v>2</v>
      </c>
      <c r="E213" s="98" t="s">
        <v>325</v>
      </c>
      <c r="F213" s="78">
        <v>72500</v>
      </c>
      <c r="G213" s="97">
        <v>1</v>
      </c>
      <c r="H213" s="98" t="s">
        <v>399</v>
      </c>
      <c r="J213" s="99">
        <f>1+Assumptions!$B$11+INDEX(Assumptions!$B$12:$B$15,D213)*Assumptions!$B$16</f>
        <v>1.35</v>
      </c>
      <c r="K213" s="82">
        <f t="shared" si="21"/>
        <v>97875</v>
      </c>
      <c r="L213" s="100">
        <f>IF(E213="Yes",MAX(0,Assumptions!$B$8-G213+1),0)</f>
        <v>8</v>
      </c>
      <c r="M213" s="82">
        <f t="shared" si="22"/>
        <v>65250</v>
      </c>
      <c r="N213" s="100">
        <f>MIN(1,SUMIFS(Roster!$N$5:$N$1504,Roster!$B$5:$B$1504,$A213))</f>
        <v>1</v>
      </c>
      <c r="O213" s="100">
        <f>SUMIFS(Roster!$L$5:$L$1504,Roster!$B$5:$B$1504,$A213)</f>
        <v>8</v>
      </c>
      <c r="P213" s="83">
        <f>SUMIFS(Roster!$M$5:$M$1504,Roster!$B$5:$B$1504,$A213)*J213</f>
        <v>64800.000000000007</v>
      </c>
      <c r="Q213" s="83">
        <f>SUMIFS(Roster!$O$5:$O$1504,Roster!$B$5:$B$1504,$A213)*J213</f>
        <v>97200</v>
      </c>
      <c r="R213" s="82">
        <f t="shared" si="23"/>
        <v>97200</v>
      </c>
      <c r="S213" s="82">
        <f t="shared" si="24"/>
        <v>0</v>
      </c>
      <c r="T213" s="82">
        <f t="shared" si="25"/>
        <v>449.99999999999272</v>
      </c>
      <c r="U213" s="82">
        <f t="shared" si="26"/>
        <v>0</v>
      </c>
      <c r="V213" s="83">
        <f>IF(COUNTIFS(Roster!$B$5:$B$1504,$A213,Roster!$G$5:$G$1504,"&gt;0")=0,0,SUMIFS(Roster!$H$5:$H$1504,Roster!$B$5:$B$1504,$A213,Roster!$G$5:$G$1504,_xlfn.MAXIFS(Roster!$G$5:$G$1504,Roster!$B$5:$B$1504,$A213)))</f>
        <v>0</v>
      </c>
      <c r="W213" s="101" t="str">
        <f t="shared" si="27"/>
        <v>Filled</v>
      </c>
    </row>
    <row r="214" spans="1:23" x14ac:dyDescent="0.25">
      <c r="A214" s="76" t="s">
        <v>623</v>
      </c>
      <c r="B214" s="76" t="s">
        <v>363</v>
      </c>
      <c r="C214" s="76" t="s">
        <v>590</v>
      </c>
      <c r="D214" s="97">
        <v>2</v>
      </c>
      <c r="E214" s="98" t="s">
        <v>325</v>
      </c>
      <c r="F214" s="78">
        <v>74000</v>
      </c>
      <c r="G214" s="97">
        <v>3</v>
      </c>
      <c r="H214" s="98" t="s">
        <v>134</v>
      </c>
      <c r="I214" s="76" t="s">
        <v>624</v>
      </c>
      <c r="J214" s="99">
        <f>1+Assumptions!$B$11+INDEX(Assumptions!$B$12:$B$15,D214)*Assumptions!$B$16</f>
        <v>1.35</v>
      </c>
      <c r="K214" s="82">
        <f t="shared" si="21"/>
        <v>99900</v>
      </c>
      <c r="L214" s="100">
        <f>IF(E214="Yes",MAX(0,Assumptions!$B$8-G214+1),0)</f>
        <v>6</v>
      </c>
      <c r="M214" s="82">
        <f t="shared" si="22"/>
        <v>49950</v>
      </c>
      <c r="N214" s="100">
        <f>MIN(1,SUMIFS(Roster!$N$5:$N$1504,Roster!$B$5:$B$1504,$A214))</f>
        <v>0</v>
      </c>
      <c r="O214" s="100">
        <f>SUMIFS(Roster!$L$5:$L$1504,Roster!$B$5:$B$1504,$A214)</f>
        <v>0</v>
      </c>
      <c r="P214" s="83">
        <f>SUMIFS(Roster!$M$5:$M$1504,Roster!$B$5:$B$1504,$A214)*J214</f>
        <v>0</v>
      </c>
      <c r="Q214" s="83">
        <f>SUMIFS(Roster!$O$5:$O$1504,Roster!$B$5:$B$1504,$A214)*J214</f>
        <v>0</v>
      </c>
      <c r="R214" s="82">
        <f t="shared" si="23"/>
        <v>0</v>
      </c>
      <c r="S214" s="82">
        <f t="shared" si="24"/>
        <v>49950</v>
      </c>
      <c r="T214" s="82">
        <f t="shared" si="25"/>
        <v>0</v>
      </c>
      <c r="U214" s="82">
        <f t="shared" si="26"/>
        <v>0</v>
      </c>
      <c r="V214" s="83">
        <f>IF(COUNTIFS(Roster!$B$5:$B$1504,$A214,Roster!$G$5:$G$1504,"&gt;0")=0,0,SUMIFS(Roster!$H$5:$H$1504,Roster!$B$5:$B$1504,$A214,Roster!$G$5:$G$1504,_xlfn.MAXIFS(Roster!$G$5:$G$1504,Roster!$B$5:$B$1504,$A214)))</f>
        <v>0</v>
      </c>
      <c r="W214" s="101" t="str">
        <f t="shared" si="27"/>
        <v>Open: on hold</v>
      </c>
    </row>
    <row r="215" spans="1:23" x14ac:dyDescent="0.25">
      <c r="A215" s="76" t="s">
        <v>625</v>
      </c>
      <c r="B215" s="76" t="s">
        <v>354</v>
      </c>
      <c r="C215" s="76" t="s">
        <v>626</v>
      </c>
      <c r="D215" s="97">
        <v>1</v>
      </c>
      <c r="E215" s="98" t="s">
        <v>325</v>
      </c>
      <c r="F215" s="78">
        <v>68500</v>
      </c>
      <c r="G215" s="97">
        <v>1</v>
      </c>
      <c r="H215" s="98" t="s">
        <v>399</v>
      </c>
      <c r="J215" s="99">
        <f>1+Assumptions!$B$11+INDEX(Assumptions!$B$12:$B$15,D215)*Assumptions!$B$16</f>
        <v>1.3</v>
      </c>
      <c r="K215" s="82">
        <f t="shared" si="21"/>
        <v>89050</v>
      </c>
      <c r="L215" s="100">
        <f>IF(E215="Yes",MAX(0,Assumptions!$B$8-G215+1),0)</f>
        <v>8</v>
      </c>
      <c r="M215" s="82">
        <f t="shared" si="22"/>
        <v>59366.666666666664</v>
      </c>
      <c r="N215" s="100">
        <f>MIN(1,SUMIFS(Roster!$N$5:$N$1504,Roster!$B$5:$B$1504,$A215))</f>
        <v>1</v>
      </c>
      <c r="O215" s="100">
        <f>SUMIFS(Roster!$L$5:$L$1504,Roster!$B$5:$B$1504,$A215)</f>
        <v>8</v>
      </c>
      <c r="P215" s="83">
        <f>SUMIFS(Roster!$M$5:$M$1504,Roster!$B$5:$B$1504,$A215)*J215</f>
        <v>59280</v>
      </c>
      <c r="Q215" s="83">
        <f>SUMIFS(Roster!$O$5:$O$1504,Roster!$B$5:$B$1504,$A215)*J215</f>
        <v>88920</v>
      </c>
      <c r="R215" s="82">
        <f t="shared" si="23"/>
        <v>88920</v>
      </c>
      <c r="S215" s="82">
        <f t="shared" si="24"/>
        <v>0</v>
      </c>
      <c r="T215" s="82">
        <f t="shared" si="25"/>
        <v>86.666666666664241</v>
      </c>
      <c r="U215" s="82">
        <f t="shared" si="26"/>
        <v>0</v>
      </c>
      <c r="V215" s="83">
        <f>IF(COUNTIFS(Roster!$B$5:$B$1504,$A215,Roster!$G$5:$G$1504,"&gt;0")=0,0,SUMIFS(Roster!$H$5:$H$1504,Roster!$B$5:$B$1504,$A215,Roster!$G$5:$G$1504,_xlfn.MAXIFS(Roster!$G$5:$G$1504,Roster!$B$5:$B$1504,$A215)))</f>
        <v>0</v>
      </c>
      <c r="W215" s="101" t="str">
        <f t="shared" si="27"/>
        <v>Filled</v>
      </c>
    </row>
    <row r="216" spans="1:23" x14ac:dyDescent="0.25">
      <c r="A216" s="76" t="s">
        <v>627</v>
      </c>
      <c r="B216" s="76" t="s">
        <v>354</v>
      </c>
      <c r="C216" s="76" t="s">
        <v>628</v>
      </c>
      <c r="D216" s="97">
        <v>2</v>
      </c>
      <c r="E216" s="98" t="s">
        <v>325</v>
      </c>
      <c r="F216" s="78">
        <v>80000</v>
      </c>
      <c r="G216" s="97">
        <v>1</v>
      </c>
      <c r="H216" s="98" t="s">
        <v>399</v>
      </c>
      <c r="J216" s="99">
        <f>1+Assumptions!$B$11+INDEX(Assumptions!$B$12:$B$15,D216)*Assumptions!$B$16</f>
        <v>1.35</v>
      </c>
      <c r="K216" s="82">
        <f t="shared" si="21"/>
        <v>108000</v>
      </c>
      <c r="L216" s="100">
        <f>IF(E216="Yes",MAX(0,Assumptions!$B$8-G216+1),0)</f>
        <v>8</v>
      </c>
      <c r="M216" s="82">
        <f t="shared" si="22"/>
        <v>72000</v>
      </c>
      <c r="N216" s="100">
        <f>MIN(1,SUMIFS(Roster!$N$5:$N$1504,Roster!$B$5:$B$1504,$A216))</f>
        <v>1</v>
      </c>
      <c r="O216" s="100">
        <f>SUMIFS(Roster!$L$5:$L$1504,Roster!$B$5:$B$1504,$A216)</f>
        <v>8</v>
      </c>
      <c r="P216" s="83">
        <f>SUMIFS(Roster!$M$5:$M$1504,Roster!$B$5:$B$1504,$A216)*J216</f>
        <v>72810.000000000015</v>
      </c>
      <c r="Q216" s="83">
        <f>SUMIFS(Roster!$O$5:$O$1504,Roster!$B$5:$B$1504,$A216)*J216</f>
        <v>109215</v>
      </c>
      <c r="R216" s="82">
        <f t="shared" si="23"/>
        <v>109215</v>
      </c>
      <c r="S216" s="82">
        <f t="shared" si="24"/>
        <v>0</v>
      </c>
      <c r="T216" s="82">
        <f t="shared" si="25"/>
        <v>-810.00000000001455</v>
      </c>
      <c r="U216" s="82">
        <f t="shared" si="26"/>
        <v>0</v>
      </c>
      <c r="V216" s="83">
        <f>IF(COUNTIFS(Roster!$B$5:$B$1504,$A216,Roster!$G$5:$G$1504,"&gt;0")=0,0,SUMIFS(Roster!$H$5:$H$1504,Roster!$B$5:$B$1504,$A216,Roster!$G$5:$G$1504,_xlfn.MAXIFS(Roster!$G$5:$G$1504,Roster!$B$5:$B$1504,$A216)))</f>
        <v>0</v>
      </c>
      <c r="W216" s="101" t="str">
        <f t="shared" si="27"/>
        <v>Filled</v>
      </c>
    </row>
    <row r="217" spans="1:23" x14ac:dyDescent="0.25">
      <c r="A217" s="76" t="s">
        <v>629</v>
      </c>
      <c r="B217" s="76" t="s">
        <v>354</v>
      </c>
      <c r="C217" s="76" t="s">
        <v>626</v>
      </c>
      <c r="D217" s="97">
        <v>1</v>
      </c>
      <c r="E217" s="98" t="s">
        <v>325</v>
      </c>
      <c r="F217" s="78">
        <v>56500</v>
      </c>
      <c r="G217" s="97">
        <v>1</v>
      </c>
      <c r="H217" s="98" t="s">
        <v>399</v>
      </c>
      <c r="J217" s="99">
        <f>1+Assumptions!$B$11+INDEX(Assumptions!$B$12:$B$15,D217)*Assumptions!$B$16</f>
        <v>1.3</v>
      </c>
      <c r="K217" s="82">
        <f t="shared" si="21"/>
        <v>73450</v>
      </c>
      <c r="L217" s="100">
        <f>IF(E217="Yes",MAX(0,Assumptions!$B$8-G217+1),0)</f>
        <v>8</v>
      </c>
      <c r="M217" s="82">
        <f t="shared" si="22"/>
        <v>48966.666666666664</v>
      </c>
      <c r="N217" s="100">
        <f>MIN(1,SUMIFS(Roster!$N$5:$N$1504,Roster!$B$5:$B$1504,$A217))</f>
        <v>1</v>
      </c>
      <c r="O217" s="100">
        <f>SUMIFS(Roster!$L$5:$L$1504,Roster!$B$5:$B$1504,$A217)</f>
        <v>8</v>
      </c>
      <c r="P217" s="83">
        <f>SUMIFS(Roster!$M$5:$M$1504,Roster!$B$5:$B$1504,$A217)*J217</f>
        <v>49140</v>
      </c>
      <c r="Q217" s="83">
        <f>SUMIFS(Roster!$O$5:$O$1504,Roster!$B$5:$B$1504,$A217)*J217</f>
        <v>73710</v>
      </c>
      <c r="R217" s="82">
        <f t="shared" si="23"/>
        <v>73710</v>
      </c>
      <c r="S217" s="82">
        <f t="shared" si="24"/>
        <v>0</v>
      </c>
      <c r="T217" s="82">
        <f t="shared" si="25"/>
        <v>-173.33333333333576</v>
      </c>
      <c r="U217" s="82">
        <f t="shared" si="26"/>
        <v>0</v>
      </c>
      <c r="V217" s="83">
        <f>IF(COUNTIFS(Roster!$B$5:$B$1504,$A217,Roster!$G$5:$G$1504,"&gt;0")=0,0,SUMIFS(Roster!$H$5:$H$1504,Roster!$B$5:$B$1504,$A217,Roster!$G$5:$G$1504,_xlfn.MAXIFS(Roster!$G$5:$G$1504,Roster!$B$5:$B$1504,$A217)))</f>
        <v>0</v>
      </c>
      <c r="W217" s="101" t="str">
        <f t="shared" si="27"/>
        <v>Filled</v>
      </c>
    </row>
    <row r="218" spans="1:23" x14ac:dyDescent="0.25">
      <c r="A218" s="76" t="s">
        <v>630</v>
      </c>
      <c r="B218" s="76" t="s">
        <v>354</v>
      </c>
      <c r="C218" s="76" t="s">
        <v>626</v>
      </c>
      <c r="D218" s="97">
        <v>1</v>
      </c>
      <c r="E218" s="98" t="s">
        <v>325</v>
      </c>
      <c r="F218" s="78">
        <v>58500</v>
      </c>
      <c r="G218" s="97">
        <v>1</v>
      </c>
      <c r="H218" s="98" t="s">
        <v>399</v>
      </c>
      <c r="J218" s="99">
        <f>1+Assumptions!$B$11+INDEX(Assumptions!$B$12:$B$15,D218)*Assumptions!$B$16</f>
        <v>1.3</v>
      </c>
      <c r="K218" s="82">
        <f t="shared" si="21"/>
        <v>76050</v>
      </c>
      <c r="L218" s="100">
        <f>IF(E218="Yes",MAX(0,Assumptions!$B$8-G218+1),0)</f>
        <v>8</v>
      </c>
      <c r="M218" s="82">
        <f t="shared" si="22"/>
        <v>50700</v>
      </c>
      <c r="N218" s="100">
        <f>MIN(1,SUMIFS(Roster!$N$5:$N$1504,Roster!$B$5:$B$1504,$A218))</f>
        <v>1</v>
      </c>
      <c r="O218" s="100">
        <f>SUMIFS(Roster!$L$5:$L$1504,Roster!$B$5:$B$1504,$A218)</f>
        <v>8</v>
      </c>
      <c r="P218" s="83">
        <f>SUMIFS(Roster!$M$5:$M$1504,Roster!$B$5:$B$1504,$A218)*J218</f>
        <v>50266.666666666664</v>
      </c>
      <c r="Q218" s="83">
        <f>SUMIFS(Roster!$O$5:$O$1504,Roster!$B$5:$B$1504,$A218)*J218</f>
        <v>75400</v>
      </c>
      <c r="R218" s="82">
        <f t="shared" si="23"/>
        <v>75400</v>
      </c>
      <c r="S218" s="82">
        <f t="shared" si="24"/>
        <v>0</v>
      </c>
      <c r="T218" s="82">
        <f t="shared" si="25"/>
        <v>433.33333333333576</v>
      </c>
      <c r="U218" s="82">
        <f t="shared" si="26"/>
        <v>0</v>
      </c>
      <c r="V218" s="83">
        <f>IF(COUNTIFS(Roster!$B$5:$B$1504,$A218,Roster!$G$5:$G$1504,"&gt;0")=0,0,SUMIFS(Roster!$H$5:$H$1504,Roster!$B$5:$B$1504,$A218,Roster!$G$5:$G$1504,_xlfn.MAXIFS(Roster!$G$5:$G$1504,Roster!$B$5:$B$1504,$A218)))</f>
        <v>0</v>
      </c>
      <c r="W218" s="101" t="str">
        <f t="shared" si="27"/>
        <v>Filled</v>
      </c>
    </row>
    <row r="219" spans="1:23" x14ac:dyDescent="0.25">
      <c r="A219" s="76" t="s">
        <v>631</v>
      </c>
      <c r="B219" s="76" t="s">
        <v>354</v>
      </c>
      <c r="C219" s="76" t="s">
        <v>628</v>
      </c>
      <c r="D219" s="97">
        <v>2</v>
      </c>
      <c r="E219" s="98" t="s">
        <v>325</v>
      </c>
      <c r="F219" s="78">
        <v>97000</v>
      </c>
      <c r="G219" s="97">
        <v>1</v>
      </c>
      <c r="H219" s="98" t="s">
        <v>399</v>
      </c>
      <c r="J219" s="99">
        <f>1+Assumptions!$B$11+INDEX(Assumptions!$B$12:$B$15,D219)*Assumptions!$B$16</f>
        <v>1.35</v>
      </c>
      <c r="K219" s="82">
        <f t="shared" si="21"/>
        <v>130950.00000000001</v>
      </c>
      <c r="L219" s="100">
        <f>IF(E219="Yes",MAX(0,Assumptions!$B$8-G219+1),0)</f>
        <v>8</v>
      </c>
      <c r="M219" s="82">
        <f t="shared" si="22"/>
        <v>87300.000000000015</v>
      </c>
      <c r="N219" s="100">
        <f>MIN(1,SUMIFS(Roster!$N$5:$N$1504,Roster!$B$5:$B$1504,$A219))</f>
        <v>1</v>
      </c>
      <c r="O219" s="100">
        <f>SUMIFS(Roster!$L$5:$L$1504,Roster!$B$5:$B$1504,$A219)</f>
        <v>8</v>
      </c>
      <c r="P219" s="83">
        <f>SUMIFS(Roster!$M$5:$M$1504,Roster!$B$5:$B$1504,$A219)*J219</f>
        <v>88470.000000000015</v>
      </c>
      <c r="Q219" s="83">
        <f>SUMIFS(Roster!$O$5:$O$1504,Roster!$B$5:$B$1504,$A219)*J219</f>
        <v>132705</v>
      </c>
      <c r="R219" s="82">
        <f t="shared" si="23"/>
        <v>132705</v>
      </c>
      <c r="S219" s="82">
        <f t="shared" si="24"/>
        <v>0</v>
      </c>
      <c r="T219" s="82">
        <f t="shared" si="25"/>
        <v>-1170</v>
      </c>
      <c r="U219" s="82">
        <f t="shared" si="26"/>
        <v>0</v>
      </c>
      <c r="V219" s="83">
        <f>IF(COUNTIFS(Roster!$B$5:$B$1504,$A219,Roster!$G$5:$G$1504,"&gt;0")=0,0,SUMIFS(Roster!$H$5:$H$1504,Roster!$B$5:$B$1504,$A219,Roster!$G$5:$G$1504,_xlfn.MAXIFS(Roster!$G$5:$G$1504,Roster!$B$5:$B$1504,$A219)))</f>
        <v>0</v>
      </c>
      <c r="W219" s="101" t="str">
        <f t="shared" si="27"/>
        <v>Filled</v>
      </c>
    </row>
    <row r="220" spans="1:23" x14ac:dyDescent="0.25">
      <c r="A220" s="76" t="s">
        <v>632</v>
      </c>
      <c r="B220" s="76" t="s">
        <v>354</v>
      </c>
      <c r="C220" s="76" t="s">
        <v>633</v>
      </c>
      <c r="D220" s="97">
        <v>3</v>
      </c>
      <c r="E220" s="98" t="s">
        <v>325</v>
      </c>
      <c r="F220" s="78">
        <v>102500</v>
      </c>
      <c r="G220" s="97">
        <v>1</v>
      </c>
      <c r="H220" s="98" t="s">
        <v>399</v>
      </c>
      <c r="J220" s="99">
        <f>1+Assumptions!$B$11+INDEX(Assumptions!$B$12:$B$15,D220)*Assumptions!$B$16</f>
        <v>1.4</v>
      </c>
      <c r="K220" s="82">
        <f t="shared" si="21"/>
        <v>143500</v>
      </c>
      <c r="L220" s="100">
        <f>IF(E220="Yes",MAX(0,Assumptions!$B$8-G220+1),0)</f>
        <v>8</v>
      </c>
      <c r="M220" s="82">
        <f t="shared" si="22"/>
        <v>95666.666666666672</v>
      </c>
      <c r="N220" s="100">
        <f>MIN(1,SUMIFS(Roster!$N$5:$N$1504,Roster!$B$5:$B$1504,$A220))</f>
        <v>1</v>
      </c>
      <c r="O220" s="100">
        <f>SUMIFS(Roster!$L$5:$L$1504,Roster!$B$5:$B$1504,$A220)</f>
        <v>8</v>
      </c>
      <c r="P220" s="83">
        <f>SUMIFS(Roster!$M$5:$M$1504,Roster!$B$5:$B$1504,$A220)*J220</f>
        <v>94266.666666666657</v>
      </c>
      <c r="Q220" s="83">
        <f>SUMIFS(Roster!$O$5:$O$1504,Roster!$B$5:$B$1504,$A220)*J220</f>
        <v>141400</v>
      </c>
      <c r="R220" s="82">
        <f t="shared" si="23"/>
        <v>141400</v>
      </c>
      <c r="S220" s="82">
        <f t="shared" si="24"/>
        <v>0</v>
      </c>
      <c r="T220" s="82">
        <f t="shared" si="25"/>
        <v>1400.0000000000146</v>
      </c>
      <c r="U220" s="82">
        <f t="shared" si="26"/>
        <v>0</v>
      </c>
      <c r="V220" s="83">
        <f>IF(COUNTIFS(Roster!$B$5:$B$1504,$A220,Roster!$G$5:$G$1504,"&gt;0")=0,0,SUMIFS(Roster!$H$5:$H$1504,Roster!$B$5:$B$1504,$A220,Roster!$G$5:$G$1504,_xlfn.MAXIFS(Roster!$G$5:$G$1504,Roster!$B$5:$B$1504,$A220)))</f>
        <v>0</v>
      </c>
      <c r="W220" s="101" t="str">
        <f t="shared" si="27"/>
        <v>Filled</v>
      </c>
    </row>
    <row r="221" spans="1:23" x14ac:dyDescent="0.25">
      <c r="A221" s="76" t="s">
        <v>634</v>
      </c>
      <c r="B221" s="76" t="s">
        <v>354</v>
      </c>
      <c r="C221" s="76" t="s">
        <v>628</v>
      </c>
      <c r="D221" s="97">
        <v>2</v>
      </c>
      <c r="E221" s="98" t="s">
        <v>325</v>
      </c>
      <c r="F221" s="78">
        <v>98000</v>
      </c>
      <c r="G221" s="97">
        <v>1</v>
      </c>
      <c r="H221" s="98" t="s">
        <v>399</v>
      </c>
      <c r="J221" s="99">
        <f>1+Assumptions!$B$11+INDEX(Assumptions!$B$12:$B$15,D221)*Assumptions!$B$16</f>
        <v>1.35</v>
      </c>
      <c r="K221" s="82">
        <f t="shared" si="21"/>
        <v>132300</v>
      </c>
      <c r="L221" s="100">
        <f>IF(E221="Yes",MAX(0,Assumptions!$B$8-G221+1),0)</f>
        <v>8</v>
      </c>
      <c r="M221" s="82">
        <f t="shared" si="22"/>
        <v>88200</v>
      </c>
      <c r="N221" s="100">
        <f>MIN(1,SUMIFS(Roster!$N$5:$N$1504,Roster!$B$5:$B$1504,$A221))</f>
        <v>1</v>
      </c>
      <c r="O221" s="100">
        <f>SUMIFS(Roster!$L$5:$L$1504,Roster!$B$5:$B$1504,$A221)</f>
        <v>8</v>
      </c>
      <c r="P221" s="83">
        <f>SUMIFS(Roster!$M$5:$M$1504,Roster!$B$5:$B$1504,$A221)*J221</f>
        <v>87750</v>
      </c>
      <c r="Q221" s="83">
        <f>SUMIFS(Roster!$O$5:$O$1504,Roster!$B$5:$B$1504,$A221)*J221</f>
        <v>131625</v>
      </c>
      <c r="R221" s="82">
        <f t="shared" si="23"/>
        <v>131625</v>
      </c>
      <c r="S221" s="82">
        <f t="shared" si="24"/>
        <v>0</v>
      </c>
      <c r="T221" s="82">
        <f t="shared" si="25"/>
        <v>450</v>
      </c>
      <c r="U221" s="82">
        <f t="shared" si="26"/>
        <v>0</v>
      </c>
      <c r="V221" s="83">
        <f>IF(COUNTIFS(Roster!$B$5:$B$1504,$A221,Roster!$G$5:$G$1504,"&gt;0")=0,0,SUMIFS(Roster!$H$5:$H$1504,Roster!$B$5:$B$1504,$A221,Roster!$G$5:$G$1504,_xlfn.MAXIFS(Roster!$G$5:$G$1504,Roster!$B$5:$B$1504,$A221)))</f>
        <v>0</v>
      </c>
      <c r="W221" s="101" t="str">
        <f t="shared" si="27"/>
        <v>Filled</v>
      </c>
    </row>
    <row r="222" spans="1:23" x14ac:dyDescent="0.25">
      <c r="A222" s="76" t="s">
        <v>635</v>
      </c>
      <c r="B222" s="76" t="s">
        <v>354</v>
      </c>
      <c r="C222" s="76" t="s">
        <v>628</v>
      </c>
      <c r="D222" s="97">
        <v>2</v>
      </c>
      <c r="E222" s="98" t="s">
        <v>325</v>
      </c>
      <c r="F222" s="78">
        <v>91500</v>
      </c>
      <c r="G222" s="97">
        <v>1</v>
      </c>
      <c r="H222" s="98" t="s">
        <v>399</v>
      </c>
      <c r="J222" s="99">
        <f>1+Assumptions!$B$11+INDEX(Assumptions!$B$12:$B$15,D222)*Assumptions!$B$16</f>
        <v>1.35</v>
      </c>
      <c r="K222" s="82">
        <f t="shared" si="21"/>
        <v>123525.00000000001</v>
      </c>
      <c r="L222" s="100">
        <f>IF(E222="Yes",MAX(0,Assumptions!$B$8-G222+1),0)</f>
        <v>8</v>
      </c>
      <c r="M222" s="82">
        <f t="shared" si="22"/>
        <v>82350.000000000015</v>
      </c>
      <c r="N222" s="100">
        <f>MIN(1,SUMIFS(Roster!$N$5:$N$1504,Roster!$B$5:$B$1504,$A222))</f>
        <v>1</v>
      </c>
      <c r="O222" s="100">
        <f>SUMIFS(Roster!$L$5:$L$1504,Roster!$B$5:$B$1504,$A222)</f>
        <v>8</v>
      </c>
      <c r="P222" s="83">
        <f>SUMIFS(Roster!$M$5:$M$1504,Roster!$B$5:$B$1504,$A222)*J222</f>
        <v>83340.000000000015</v>
      </c>
      <c r="Q222" s="83">
        <f>SUMIFS(Roster!$O$5:$O$1504,Roster!$B$5:$B$1504,$A222)*J222</f>
        <v>125010.00000000001</v>
      </c>
      <c r="R222" s="82">
        <f t="shared" si="23"/>
        <v>125010.00000000001</v>
      </c>
      <c r="S222" s="82">
        <f t="shared" si="24"/>
        <v>0</v>
      </c>
      <c r="T222" s="82">
        <f t="shared" si="25"/>
        <v>-990</v>
      </c>
      <c r="U222" s="82">
        <f t="shared" si="26"/>
        <v>0</v>
      </c>
      <c r="V222" s="83">
        <f>IF(COUNTIFS(Roster!$B$5:$B$1504,$A222,Roster!$G$5:$G$1504,"&gt;0")=0,0,SUMIFS(Roster!$H$5:$H$1504,Roster!$B$5:$B$1504,$A222,Roster!$G$5:$G$1504,_xlfn.MAXIFS(Roster!$G$5:$G$1504,Roster!$B$5:$B$1504,$A222)))</f>
        <v>0</v>
      </c>
      <c r="W222" s="101" t="str">
        <f t="shared" si="27"/>
        <v>Filled</v>
      </c>
    </row>
    <row r="223" spans="1:23" x14ac:dyDescent="0.25">
      <c r="A223" s="76" t="s">
        <v>636</v>
      </c>
      <c r="B223" s="76" t="s">
        <v>354</v>
      </c>
      <c r="C223" s="76" t="s">
        <v>628</v>
      </c>
      <c r="D223" s="97">
        <v>2</v>
      </c>
      <c r="E223" s="98" t="s">
        <v>325</v>
      </c>
      <c r="F223" s="78">
        <v>86500</v>
      </c>
      <c r="G223" s="97">
        <v>1</v>
      </c>
      <c r="H223" s="98" t="s">
        <v>399</v>
      </c>
      <c r="J223" s="99">
        <f>1+Assumptions!$B$11+INDEX(Assumptions!$B$12:$B$15,D223)*Assumptions!$B$16</f>
        <v>1.35</v>
      </c>
      <c r="K223" s="82">
        <f t="shared" si="21"/>
        <v>116775.00000000001</v>
      </c>
      <c r="L223" s="100">
        <f>IF(E223="Yes",MAX(0,Assumptions!$B$8-G223+1),0)</f>
        <v>8</v>
      </c>
      <c r="M223" s="82">
        <f t="shared" si="22"/>
        <v>77850.000000000015</v>
      </c>
      <c r="N223" s="100">
        <f>MIN(1,SUMIFS(Roster!$N$5:$N$1504,Roster!$B$5:$B$1504,$A223))</f>
        <v>1</v>
      </c>
      <c r="O223" s="100">
        <f>SUMIFS(Roster!$L$5:$L$1504,Roster!$B$5:$B$1504,$A223)</f>
        <v>7</v>
      </c>
      <c r="P223" s="83">
        <f>SUMIFS(Roster!$M$5:$M$1504,Roster!$B$5:$B$1504,$A223)*J223</f>
        <v>69525</v>
      </c>
      <c r="Q223" s="83">
        <f>SUMIFS(Roster!$O$5:$O$1504,Roster!$B$5:$B$1504,$A223)*J223</f>
        <v>123525.00000000001</v>
      </c>
      <c r="R223" s="82">
        <f t="shared" si="23"/>
        <v>123525.00000000001</v>
      </c>
      <c r="S223" s="82">
        <f t="shared" si="24"/>
        <v>9731.2500000000018</v>
      </c>
      <c r="T223" s="82">
        <f t="shared" si="25"/>
        <v>-1406.2499999999854</v>
      </c>
      <c r="U223" s="82">
        <f t="shared" si="26"/>
        <v>0</v>
      </c>
      <c r="V223" s="83">
        <f>IF(COUNTIFS(Roster!$B$5:$B$1504,$A223,Roster!$G$5:$G$1504,"&gt;0")=0,0,SUMIFS(Roster!$H$5:$H$1504,Roster!$B$5:$B$1504,$A223,Roster!$G$5:$G$1504,_xlfn.MAXIFS(Roster!$G$5:$G$1504,Roster!$B$5:$B$1504,$A223)))</f>
        <v>87000</v>
      </c>
      <c r="W223" s="101" t="str">
        <f t="shared" si="27"/>
        <v>Filled</v>
      </c>
    </row>
    <row r="224" spans="1:23" x14ac:dyDescent="0.25">
      <c r="A224" s="76" t="s">
        <v>637</v>
      </c>
      <c r="B224" s="76" t="s">
        <v>354</v>
      </c>
      <c r="C224" s="76" t="s">
        <v>628</v>
      </c>
      <c r="D224" s="97">
        <v>2</v>
      </c>
      <c r="E224" s="98" t="s">
        <v>325</v>
      </c>
      <c r="F224" s="78">
        <v>94000</v>
      </c>
      <c r="G224" s="97">
        <v>1</v>
      </c>
      <c r="H224" s="98" t="s">
        <v>399</v>
      </c>
      <c r="J224" s="99">
        <f>1+Assumptions!$B$11+INDEX(Assumptions!$B$12:$B$15,D224)*Assumptions!$B$16</f>
        <v>1.35</v>
      </c>
      <c r="K224" s="82">
        <f t="shared" si="21"/>
        <v>126900.00000000001</v>
      </c>
      <c r="L224" s="100">
        <f>IF(E224="Yes",MAX(0,Assumptions!$B$8-G224+1),0)</f>
        <v>8</v>
      </c>
      <c r="M224" s="82">
        <f t="shared" si="22"/>
        <v>84600.000000000015</v>
      </c>
      <c r="N224" s="100">
        <f>MIN(1,SUMIFS(Roster!$N$5:$N$1504,Roster!$B$5:$B$1504,$A224))</f>
        <v>1</v>
      </c>
      <c r="O224" s="100">
        <f>SUMIFS(Roster!$L$5:$L$1504,Roster!$B$5:$B$1504,$A224)</f>
        <v>8</v>
      </c>
      <c r="P224" s="83">
        <f>SUMIFS(Roster!$M$5:$M$1504,Roster!$B$5:$B$1504,$A224)*J224</f>
        <v>85140</v>
      </c>
      <c r="Q224" s="83">
        <f>SUMIFS(Roster!$O$5:$O$1504,Roster!$B$5:$B$1504,$A224)*J224</f>
        <v>127710.00000000001</v>
      </c>
      <c r="R224" s="82">
        <f t="shared" si="23"/>
        <v>127710.00000000001</v>
      </c>
      <c r="S224" s="82">
        <f t="shared" si="24"/>
        <v>0</v>
      </c>
      <c r="T224" s="82">
        <f t="shared" si="25"/>
        <v>-539.99999999998545</v>
      </c>
      <c r="U224" s="82">
        <f t="shared" si="26"/>
        <v>0</v>
      </c>
      <c r="V224" s="83">
        <f>IF(COUNTIFS(Roster!$B$5:$B$1504,$A224,Roster!$G$5:$G$1504,"&gt;0")=0,0,SUMIFS(Roster!$H$5:$H$1504,Roster!$B$5:$B$1504,$A224,Roster!$G$5:$G$1504,_xlfn.MAXIFS(Roster!$G$5:$G$1504,Roster!$B$5:$B$1504,$A224)))</f>
        <v>0</v>
      </c>
      <c r="W224" s="101" t="str">
        <f t="shared" si="27"/>
        <v>Filled</v>
      </c>
    </row>
    <row r="225" spans="1:23" x14ac:dyDescent="0.25">
      <c r="A225" s="76" t="s">
        <v>638</v>
      </c>
      <c r="B225" s="76" t="s">
        <v>354</v>
      </c>
      <c r="C225" s="76" t="s">
        <v>626</v>
      </c>
      <c r="D225" s="97">
        <v>1</v>
      </c>
      <c r="E225" s="98" t="s">
        <v>325</v>
      </c>
      <c r="F225" s="78">
        <v>60000</v>
      </c>
      <c r="G225" s="97">
        <v>1</v>
      </c>
      <c r="H225" s="98" t="s">
        <v>399</v>
      </c>
      <c r="J225" s="99">
        <f>1+Assumptions!$B$11+INDEX(Assumptions!$B$12:$B$15,D225)*Assumptions!$B$16</f>
        <v>1.3</v>
      </c>
      <c r="K225" s="82">
        <f t="shared" si="21"/>
        <v>78000</v>
      </c>
      <c r="L225" s="100">
        <f>IF(E225="Yes",MAX(0,Assumptions!$B$8-G225+1),0)</f>
        <v>8</v>
      </c>
      <c r="M225" s="82">
        <f t="shared" si="22"/>
        <v>52000</v>
      </c>
      <c r="N225" s="100">
        <f>MIN(1,SUMIFS(Roster!$N$5:$N$1504,Roster!$B$5:$B$1504,$A225))</f>
        <v>1</v>
      </c>
      <c r="O225" s="100">
        <f>SUMIFS(Roster!$L$5:$L$1504,Roster!$B$5:$B$1504,$A225)</f>
        <v>8</v>
      </c>
      <c r="P225" s="83">
        <f>SUMIFS(Roster!$M$5:$M$1504,Roster!$B$5:$B$1504,$A225)*J225</f>
        <v>52520</v>
      </c>
      <c r="Q225" s="83">
        <f>SUMIFS(Roster!$O$5:$O$1504,Roster!$B$5:$B$1504,$A225)*J225</f>
        <v>78780</v>
      </c>
      <c r="R225" s="82">
        <f t="shared" si="23"/>
        <v>78780</v>
      </c>
      <c r="S225" s="82">
        <f t="shared" si="24"/>
        <v>0</v>
      </c>
      <c r="T225" s="82">
        <f t="shared" si="25"/>
        <v>-520</v>
      </c>
      <c r="U225" s="82">
        <f t="shared" si="26"/>
        <v>0</v>
      </c>
      <c r="V225" s="83">
        <f>IF(COUNTIFS(Roster!$B$5:$B$1504,$A225,Roster!$G$5:$G$1504,"&gt;0")=0,0,SUMIFS(Roster!$H$5:$H$1504,Roster!$B$5:$B$1504,$A225,Roster!$G$5:$G$1504,_xlfn.MAXIFS(Roster!$G$5:$G$1504,Roster!$B$5:$B$1504,$A225)))</f>
        <v>0</v>
      </c>
      <c r="W225" s="101" t="str">
        <f t="shared" si="27"/>
        <v>Filled</v>
      </c>
    </row>
    <row r="226" spans="1:23" x14ac:dyDescent="0.25">
      <c r="A226" s="76" t="s">
        <v>639</v>
      </c>
      <c r="B226" s="76" t="s">
        <v>354</v>
      </c>
      <c r="C226" s="76" t="s">
        <v>628</v>
      </c>
      <c r="D226" s="97">
        <v>2</v>
      </c>
      <c r="E226" s="98" t="s">
        <v>325</v>
      </c>
      <c r="F226" s="78">
        <v>91500</v>
      </c>
      <c r="G226" s="97">
        <v>1</v>
      </c>
      <c r="H226" s="98" t="s">
        <v>399</v>
      </c>
      <c r="J226" s="99">
        <f>1+Assumptions!$B$11+INDEX(Assumptions!$B$12:$B$15,D226)*Assumptions!$B$16</f>
        <v>1.35</v>
      </c>
      <c r="K226" s="82">
        <f t="shared" si="21"/>
        <v>123525.00000000001</v>
      </c>
      <c r="L226" s="100">
        <f>IF(E226="Yes",MAX(0,Assumptions!$B$8-G226+1),0)</f>
        <v>8</v>
      </c>
      <c r="M226" s="82">
        <f t="shared" si="22"/>
        <v>82350.000000000015</v>
      </c>
      <c r="N226" s="100">
        <f>MIN(1,SUMIFS(Roster!$N$5:$N$1504,Roster!$B$5:$B$1504,$A226))</f>
        <v>1</v>
      </c>
      <c r="O226" s="100">
        <f>SUMIFS(Roster!$L$5:$L$1504,Roster!$B$5:$B$1504,$A226)</f>
        <v>8</v>
      </c>
      <c r="P226" s="83">
        <f>SUMIFS(Roster!$M$5:$M$1504,Roster!$B$5:$B$1504,$A226)*J226</f>
        <v>82170</v>
      </c>
      <c r="Q226" s="83">
        <f>SUMIFS(Roster!$O$5:$O$1504,Roster!$B$5:$B$1504,$A226)*J226</f>
        <v>123255.00000000001</v>
      </c>
      <c r="R226" s="82">
        <f t="shared" si="23"/>
        <v>123255.00000000001</v>
      </c>
      <c r="S226" s="82">
        <f t="shared" si="24"/>
        <v>0</v>
      </c>
      <c r="T226" s="82">
        <f t="shared" si="25"/>
        <v>180.00000000001455</v>
      </c>
      <c r="U226" s="82">
        <f t="shared" si="26"/>
        <v>0</v>
      </c>
      <c r="V226" s="83">
        <f>IF(COUNTIFS(Roster!$B$5:$B$1504,$A226,Roster!$G$5:$G$1504,"&gt;0")=0,0,SUMIFS(Roster!$H$5:$H$1504,Roster!$B$5:$B$1504,$A226,Roster!$G$5:$G$1504,_xlfn.MAXIFS(Roster!$G$5:$G$1504,Roster!$B$5:$B$1504,$A226)))</f>
        <v>0</v>
      </c>
      <c r="W226" s="101" t="str">
        <f t="shared" si="27"/>
        <v>Filled</v>
      </c>
    </row>
    <row r="227" spans="1:23" x14ac:dyDescent="0.25">
      <c r="A227" s="76" t="s">
        <v>640</v>
      </c>
      <c r="B227" s="76" t="s">
        <v>354</v>
      </c>
      <c r="C227" s="76" t="s">
        <v>626</v>
      </c>
      <c r="D227" s="97">
        <v>1</v>
      </c>
      <c r="E227" s="98" t="s">
        <v>325</v>
      </c>
      <c r="F227" s="78">
        <v>64000</v>
      </c>
      <c r="G227" s="97">
        <v>1</v>
      </c>
      <c r="H227" s="98" t="s">
        <v>399</v>
      </c>
      <c r="J227" s="99">
        <f>1+Assumptions!$B$11+INDEX(Assumptions!$B$12:$B$15,D227)*Assumptions!$B$16</f>
        <v>1.3</v>
      </c>
      <c r="K227" s="82">
        <f t="shared" si="21"/>
        <v>83200</v>
      </c>
      <c r="L227" s="100">
        <f>IF(E227="Yes",MAX(0,Assumptions!$B$8-G227+1),0)</f>
        <v>8</v>
      </c>
      <c r="M227" s="82">
        <f t="shared" si="22"/>
        <v>55466.666666666664</v>
      </c>
      <c r="N227" s="100">
        <f>MIN(1,SUMIFS(Roster!$N$5:$N$1504,Roster!$B$5:$B$1504,$A227))</f>
        <v>1</v>
      </c>
      <c r="O227" s="100">
        <f>SUMIFS(Roster!$L$5:$L$1504,Roster!$B$5:$B$1504,$A227)</f>
        <v>8</v>
      </c>
      <c r="P227" s="83">
        <f>SUMIFS(Roster!$M$5:$M$1504,Roster!$B$5:$B$1504,$A227)*J227</f>
        <v>55206.666666666664</v>
      </c>
      <c r="Q227" s="83">
        <f>SUMIFS(Roster!$O$5:$O$1504,Roster!$B$5:$B$1504,$A227)*J227</f>
        <v>82810</v>
      </c>
      <c r="R227" s="82">
        <f t="shared" si="23"/>
        <v>82810</v>
      </c>
      <c r="S227" s="82">
        <f t="shared" si="24"/>
        <v>0</v>
      </c>
      <c r="T227" s="82">
        <f t="shared" si="25"/>
        <v>260</v>
      </c>
      <c r="U227" s="82">
        <f t="shared" si="26"/>
        <v>0</v>
      </c>
      <c r="V227" s="83">
        <f>IF(COUNTIFS(Roster!$B$5:$B$1504,$A227,Roster!$G$5:$G$1504,"&gt;0")=0,0,SUMIFS(Roster!$H$5:$H$1504,Roster!$B$5:$B$1504,$A227,Roster!$G$5:$G$1504,_xlfn.MAXIFS(Roster!$G$5:$G$1504,Roster!$B$5:$B$1504,$A227)))</f>
        <v>0</v>
      </c>
      <c r="W227" s="101" t="str">
        <f t="shared" si="27"/>
        <v>Filled</v>
      </c>
    </row>
    <row r="228" spans="1:23" x14ac:dyDescent="0.25">
      <c r="A228" s="76" t="s">
        <v>641</v>
      </c>
      <c r="B228" s="76" t="s">
        <v>354</v>
      </c>
      <c r="C228" s="76" t="s">
        <v>626</v>
      </c>
      <c r="D228" s="97">
        <v>1</v>
      </c>
      <c r="E228" s="98" t="s">
        <v>325</v>
      </c>
      <c r="F228" s="78">
        <v>53500</v>
      </c>
      <c r="G228" s="97">
        <v>1</v>
      </c>
      <c r="H228" s="98" t="s">
        <v>399</v>
      </c>
      <c r="J228" s="99">
        <f>1+Assumptions!$B$11+INDEX(Assumptions!$B$12:$B$15,D228)*Assumptions!$B$16</f>
        <v>1.3</v>
      </c>
      <c r="K228" s="82">
        <f t="shared" si="21"/>
        <v>69550</v>
      </c>
      <c r="L228" s="100">
        <f>IF(E228="Yes",MAX(0,Assumptions!$B$8-G228+1),0)</f>
        <v>8</v>
      </c>
      <c r="M228" s="82">
        <f t="shared" si="22"/>
        <v>46366.666666666664</v>
      </c>
      <c r="N228" s="100">
        <f>MIN(1,SUMIFS(Roster!$N$5:$N$1504,Roster!$B$5:$B$1504,$A228))</f>
        <v>1</v>
      </c>
      <c r="O228" s="100">
        <f>SUMIFS(Roster!$L$5:$L$1504,Roster!$B$5:$B$1504,$A228)</f>
        <v>8</v>
      </c>
      <c r="P228" s="83">
        <f>SUMIFS(Roster!$M$5:$M$1504,Roster!$B$5:$B$1504,$A228)*J228</f>
        <v>46973.333333333336</v>
      </c>
      <c r="Q228" s="83">
        <f>SUMIFS(Roster!$O$5:$O$1504,Roster!$B$5:$B$1504,$A228)*J228</f>
        <v>70460</v>
      </c>
      <c r="R228" s="82">
        <f t="shared" si="23"/>
        <v>70460</v>
      </c>
      <c r="S228" s="82">
        <f t="shared" si="24"/>
        <v>0</v>
      </c>
      <c r="T228" s="82">
        <f t="shared" si="25"/>
        <v>-606.66666666667152</v>
      </c>
      <c r="U228" s="82">
        <f t="shared" si="26"/>
        <v>0</v>
      </c>
      <c r="V228" s="83">
        <f>IF(COUNTIFS(Roster!$B$5:$B$1504,$A228,Roster!$G$5:$G$1504,"&gt;0")=0,0,SUMIFS(Roster!$H$5:$H$1504,Roster!$B$5:$B$1504,$A228,Roster!$G$5:$G$1504,_xlfn.MAXIFS(Roster!$G$5:$G$1504,Roster!$B$5:$B$1504,$A228)))</f>
        <v>0</v>
      </c>
      <c r="W228" s="101" t="str">
        <f t="shared" si="27"/>
        <v>Filled</v>
      </c>
    </row>
    <row r="229" spans="1:23" x14ac:dyDescent="0.25">
      <c r="A229" s="76" t="s">
        <v>642</v>
      </c>
      <c r="B229" s="76" t="s">
        <v>354</v>
      </c>
      <c r="C229" s="76" t="s">
        <v>626</v>
      </c>
      <c r="D229" s="97">
        <v>1</v>
      </c>
      <c r="E229" s="98" t="s">
        <v>325</v>
      </c>
      <c r="F229" s="78">
        <v>58500</v>
      </c>
      <c r="G229" s="97">
        <v>1</v>
      </c>
      <c r="H229" s="98" t="s">
        <v>399</v>
      </c>
      <c r="J229" s="99">
        <f>1+Assumptions!$B$11+INDEX(Assumptions!$B$12:$B$15,D229)*Assumptions!$B$16</f>
        <v>1.3</v>
      </c>
      <c r="K229" s="82">
        <f t="shared" si="21"/>
        <v>76050</v>
      </c>
      <c r="L229" s="100">
        <f>IF(E229="Yes",MAX(0,Assumptions!$B$8-G229+1),0)</f>
        <v>8</v>
      </c>
      <c r="M229" s="82">
        <f t="shared" si="22"/>
        <v>50700</v>
      </c>
      <c r="N229" s="100">
        <f>MIN(1,SUMIFS(Roster!$N$5:$N$1504,Roster!$B$5:$B$1504,$A229))</f>
        <v>1</v>
      </c>
      <c r="O229" s="100">
        <f>SUMIFS(Roster!$L$5:$L$1504,Roster!$B$5:$B$1504,$A229)</f>
        <v>8</v>
      </c>
      <c r="P229" s="83">
        <f>SUMIFS(Roster!$M$5:$M$1504,Roster!$B$5:$B$1504,$A229)*J229</f>
        <v>50093.333333333336</v>
      </c>
      <c r="Q229" s="83">
        <f>SUMIFS(Roster!$O$5:$O$1504,Roster!$B$5:$B$1504,$A229)*J229</f>
        <v>75140</v>
      </c>
      <c r="R229" s="82">
        <f t="shared" si="23"/>
        <v>75140</v>
      </c>
      <c r="S229" s="82">
        <f t="shared" si="24"/>
        <v>0</v>
      </c>
      <c r="T229" s="82">
        <f t="shared" si="25"/>
        <v>606.66666666666424</v>
      </c>
      <c r="U229" s="82">
        <f t="shared" si="26"/>
        <v>0</v>
      </c>
      <c r="V229" s="83">
        <f>IF(COUNTIFS(Roster!$B$5:$B$1504,$A229,Roster!$G$5:$G$1504,"&gt;0")=0,0,SUMIFS(Roster!$H$5:$H$1504,Roster!$B$5:$B$1504,$A229,Roster!$G$5:$G$1504,_xlfn.MAXIFS(Roster!$G$5:$G$1504,Roster!$B$5:$B$1504,$A229)))</f>
        <v>0</v>
      </c>
      <c r="W229" s="101" t="str">
        <f t="shared" si="27"/>
        <v>Filled</v>
      </c>
    </row>
    <row r="230" spans="1:23" x14ac:dyDescent="0.25">
      <c r="A230" s="76" t="s">
        <v>643</v>
      </c>
      <c r="B230" s="76" t="s">
        <v>354</v>
      </c>
      <c r="C230" s="76" t="s">
        <v>633</v>
      </c>
      <c r="D230" s="97">
        <v>3</v>
      </c>
      <c r="E230" s="98" t="s">
        <v>325</v>
      </c>
      <c r="F230" s="78">
        <v>128500</v>
      </c>
      <c r="G230" s="97">
        <v>1</v>
      </c>
      <c r="H230" s="98" t="s">
        <v>399</v>
      </c>
      <c r="J230" s="99">
        <f>1+Assumptions!$B$11+INDEX(Assumptions!$B$12:$B$15,D230)*Assumptions!$B$16</f>
        <v>1.4</v>
      </c>
      <c r="K230" s="82">
        <f t="shared" si="21"/>
        <v>179900</v>
      </c>
      <c r="L230" s="100">
        <f>IF(E230="Yes",MAX(0,Assumptions!$B$8-G230+1),0)</f>
        <v>8</v>
      </c>
      <c r="M230" s="82">
        <f t="shared" si="22"/>
        <v>119933.33333333333</v>
      </c>
      <c r="N230" s="100">
        <f>MIN(1,SUMIFS(Roster!$N$5:$N$1504,Roster!$B$5:$B$1504,$A230))</f>
        <v>1</v>
      </c>
      <c r="O230" s="100">
        <f>SUMIFS(Roster!$L$5:$L$1504,Roster!$B$5:$B$1504,$A230)</f>
        <v>8</v>
      </c>
      <c r="P230" s="83">
        <f>SUMIFS(Roster!$M$5:$M$1504,Roster!$B$5:$B$1504,$A230)*J230</f>
        <v>121333.33333333333</v>
      </c>
      <c r="Q230" s="83">
        <f>SUMIFS(Roster!$O$5:$O$1504,Roster!$B$5:$B$1504,$A230)*J230</f>
        <v>182000</v>
      </c>
      <c r="R230" s="82">
        <f t="shared" si="23"/>
        <v>182000</v>
      </c>
      <c r="S230" s="82">
        <f t="shared" si="24"/>
        <v>0</v>
      </c>
      <c r="T230" s="82">
        <f t="shared" si="25"/>
        <v>-1400</v>
      </c>
      <c r="U230" s="82">
        <f t="shared" si="26"/>
        <v>0</v>
      </c>
      <c r="V230" s="83">
        <f>IF(COUNTIFS(Roster!$B$5:$B$1504,$A230,Roster!$G$5:$G$1504,"&gt;0")=0,0,SUMIFS(Roster!$H$5:$H$1504,Roster!$B$5:$B$1504,$A230,Roster!$G$5:$G$1504,_xlfn.MAXIFS(Roster!$G$5:$G$1504,Roster!$B$5:$B$1504,$A230)))</f>
        <v>0</v>
      </c>
      <c r="W230" s="101" t="str">
        <f t="shared" si="27"/>
        <v>Filled</v>
      </c>
    </row>
    <row r="231" spans="1:23" x14ac:dyDescent="0.25">
      <c r="A231" s="76" t="s">
        <v>644</v>
      </c>
      <c r="B231" s="76" t="s">
        <v>354</v>
      </c>
      <c r="C231" s="76" t="s">
        <v>626</v>
      </c>
      <c r="D231" s="97">
        <v>1</v>
      </c>
      <c r="E231" s="98" t="s">
        <v>325</v>
      </c>
      <c r="F231" s="78">
        <v>57000</v>
      </c>
      <c r="G231" s="97">
        <v>1</v>
      </c>
      <c r="H231" s="98" t="s">
        <v>399</v>
      </c>
      <c r="J231" s="99">
        <f>1+Assumptions!$B$11+INDEX(Assumptions!$B$12:$B$15,D231)*Assumptions!$B$16</f>
        <v>1.3</v>
      </c>
      <c r="K231" s="82">
        <f t="shared" si="21"/>
        <v>74100</v>
      </c>
      <c r="L231" s="100">
        <f>IF(E231="Yes",MAX(0,Assumptions!$B$8-G231+1),0)</f>
        <v>8</v>
      </c>
      <c r="M231" s="82">
        <f t="shared" si="22"/>
        <v>49400</v>
      </c>
      <c r="N231" s="100">
        <f>MIN(1,SUMIFS(Roster!$N$5:$N$1504,Roster!$B$5:$B$1504,$A231))</f>
        <v>1</v>
      </c>
      <c r="O231" s="100">
        <f>SUMIFS(Roster!$L$5:$L$1504,Roster!$B$5:$B$1504,$A231)</f>
        <v>8</v>
      </c>
      <c r="P231" s="83">
        <f>SUMIFS(Roster!$M$5:$M$1504,Roster!$B$5:$B$1504,$A231)*J231</f>
        <v>50093.333333333336</v>
      </c>
      <c r="Q231" s="83">
        <f>SUMIFS(Roster!$O$5:$O$1504,Roster!$B$5:$B$1504,$A231)*J231</f>
        <v>75140</v>
      </c>
      <c r="R231" s="82">
        <f t="shared" si="23"/>
        <v>75140</v>
      </c>
      <c r="S231" s="82">
        <f t="shared" si="24"/>
        <v>0</v>
      </c>
      <c r="T231" s="82">
        <f t="shared" si="25"/>
        <v>-693.33333333333576</v>
      </c>
      <c r="U231" s="82">
        <f t="shared" si="26"/>
        <v>0</v>
      </c>
      <c r="V231" s="83">
        <f>IF(COUNTIFS(Roster!$B$5:$B$1504,$A231,Roster!$G$5:$G$1504,"&gt;0")=0,0,SUMIFS(Roster!$H$5:$H$1504,Roster!$B$5:$B$1504,$A231,Roster!$G$5:$G$1504,_xlfn.MAXIFS(Roster!$G$5:$G$1504,Roster!$B$5:$B$1504,$A231)))</f>
        <v>0</v>
      </c>
      <c r="W231" s="101" t="str">
        <f t="shared" si="27"/>
        <v>Filled</v>
      </c>
    </row>
    <row r="232" spans="1:23" x14ac:dyDescent="0.25">
      <c r="A232" s="76" t="s">
        <v>645</v>
      </c>
      <c r="B232" s="76" t="s">
        <v>354</v>
      </c>
      <c r="C232" s="76" t="s">
        <v>628</v>
      </c>
      <c r="D232" s="97">
        <v>2</v>
      </c>
      <c r="E232" s="98" t="s">
        <v>325</v>
      </c>
      <c r="F232" s="78">
        <v>79000</v>
      </c>
      <c r="G232" s="97">
        <v>1</v>
      </c>
      <c r="H232" s="98" t="s">
        <v>399</v>
      </c>
      <c r="J232" s="99">
        <f>1+Assumptions!$B$11+INDEX(Assumptions!$B$12:$B$15,D232)*Assumptions!$B$16</f>
        <v>1.35</v>
      </c>
      <c r="K232" s="82">
        <f t="shared" si="21"/>
        <v>106650</v>
      </c>
      <c r="L232" s="100">
        <f>IF(E232="Yes",MAX(0,Assumptions!$B$8-G232+1),0)</f>
        <v>8</v>
      </c>
      <c r="M232" s="82">
        <f t="shared" si="22"/>
        <v>71100</v>
      </c>
      <c r="N232" s="100">
        <f>MIN(1,SUMIFS(Roster!$N$5:$N$1504,Roster!$B$5:$B$1504,$A232))</f>
        <v>1</v>
      </c>
      <c r="O232" s="100">
        <f>SUMIFS(Roster!$L$5:$L$1504,Roster!$B$5:$B$1504,$A232)</f>
        <v>8</v>
      </c>
      <c r="P232" s="83">
        <f>SUMIFS(Roster!$M$5:$M$1504,Roster!$B$5:$B$1504,$A232)*J232</f>
        <v>71370</v>
      </c>
      <c r="Q232" s="83">
        <f>SUMIFS(Roster!$O$5:$O$1504,Roster!$B$5:$B$1504,$A232)*J232</f>
        <v>107055</v>
      </c>
      <c r="R232" s="82">
        <f t="shared" si="23"/>
        <v>107055</v>
      </c>
      <c r="S232" s="82">
        <f t="shared" si="24"/>
        <v>0</v>
      </c>
      <c r="T232" s="82">
        <f t="shared" si="25"/>
        <v>-270</v>
      </c>
      <c r="U232" s="82">
        <f t="shared" si="26"/>
        <v>0</v>
      </c>
      <c r="V232" s="83">
        <f>IF(COUNTIFS(Roster!$B$5:$B$1504,$A232,Roster!$G$5:$G$1504,"&gt;0")=0,0,SUMIFS(Roster!$H$5:$H$1504,Roster!$B$5:$B$1504,$A232,Roster!$G$5:$G$1504,_xlfn.MAXIFS(Roster!$G$5:$G$1504,Roster!$B$5:$B$1504,$A232)))</f>
        <v>0</v>
      </c>
      <c r="W232" s="101" t="str">
        <f t="shared" si="27"/>
        <v>Filled</v>
      </c>
    </row>
    <row r="233" spans="1:23" x14ac:dyDescent="0.25">
      <c r="A233" s="76" t="s">
        <v>646</v>
      </c>
      <c r="B233" s="76" t="s">
        <v>354</v>
      </c>
      <c r="C233" s="76" t="s">
        <v>626</v>
      </c>
      <c r="D233" s="97">
        <v>1</v>
      </c>
      <c r="E233" s="98" t="s">
        <v>325</v>
      </c>
      <c r="F233" s="78">
        <v>64000</v>
      </c>
      <c r="G233" s="97">
        <v>1</v>
      </c>
      <c r="H233" s="98" t="s">
        <v>399</v>
      </c>
      <c r="J233" s="99">
        <f>1+Assumptions!$B$11+INDEX(Assumptions!$B$12:$B$15,D233)*Assumptions!$B$16</f>
        <v>1.3</v>
      </c>
      <c r="K233" s="82">
        <f t="shared" si="21"/>
        <v>83200</v>
      </c>
      <c r="L233" s="100">
        <f>IF(E233="Yes",MAX(0,Assumptions!$B$8-G233+1),0)</f>
        <v>8</v>
      </c>
      <c r="M233" s="82">
        <f t="shared" si="22"/>
        <v>55466.666666666664</v>
      </c>
      <c r="N233" s="100">
        <f>MIN(1,SUMIFS(Roster!$N$5:$N$1504,Roster!$B$5:$B$1504,$A233))</f>
        <v>1</v>
      </c>
      <c r="O233" s="100">
        <f>SUMIFS(Roster!$L$5:$L$1504,Roster!$B$5:$B$1504,$A233)</f>
        <v>8</v>
      </c>
      <c r="P233" s="83">
        <f>SUMIFS(Roster!$M$5:$M$1504,Roster!$B$5:$B$1504,$A233)*J233</f>
        <v>55120</v>
      </c>
      <c r="Q233" s="83">
        <f>SUMIFS(Roster!$O$5:$O$1504,Roster!$B$5:$B$1504,$A233)*J233</f>
        <v>82680</v>
      </c>
      <c r="R233" s="82">
        <f t="shared" si="23"/>
        <v>82680</v>
      </c>
      <c r="S233" s="82">
        <f t="shared" si="24"/>
        <v>0</v>
      </c>
      <c r="T233" s="82">
        <f t="shared" si="25"/>
        <v>346.66666666666424</v>
      </c>
      <c r="U233" s="82">
        <f t="shared" si="26"/>
        <v>0</v>
      </c>
      <c r="V233" s="83">
        <f>IF(COUNTIFS(Roster!$B$5:$B$1504,$A233,Roster!$G$5:$G$1504,"&gt;0")=0,0,SUMIFS(Roster!$H$5:$H$1504,Roster!$B$5:$B$1504,$A233,Roster!$G$5:$G$1504,_xlfn.MAXIFS(Roster!$G$5:$G$1504,Roster!$B$5:$B$1504,$A233)))</f>
        <v>0</v>
      </c>
      <c r="W233" s="101" t="str">
        <f t="shared" si="27"/>
        <v>Filled</v>
      </c>
    </row>
    <row r="234" spans="1:23" x14ac:dyDescent="0.25">
      <c r="A234" s="76" t="s">
        <v>647</v>
      </c>
      <c r="B234" s="76" t="s">
        <v>354</v>
      </c>
      <c r="C234" s="76" t="s">
        <v>633</v>
      </c>
      <c r="D234" s="97">
        <v>3</v>
      </c>
      <c r="E234" s="98" t="s">
        <v>325</v>
      </c>
      <c r="F234" s="78">
        <v>124000</v>
      </c>
      <c r="G234" s="97">
        <v>1</v>
      </c>
      <c r="H234" s="98" t="s">
        <v>399</v>
      </c>
      <c r="J234" s="99">
        <f>1+Assumptions!$B$11+INDEX(Assumptions!$B$12:$B$15,D234)*Assumptions!$B$16</f>
        <v>1.4</v>
      </c>
      <c r="K234" s="82">
        <f t="shared" si="21"/>
        <v>173600</v>
      </c>
      <c r="L234" s="100">
        <f>IF(E234="Yes",MAX(0,Assumptions!$B$8-G234+1),0)</f>
        <v>8</v>
      </c>
      <c r="M234" s="82">
        <f t="shared" si="22"/>
        <v>115733.33333333333</v>
      </c>
      <c r="N234" s="100">
        <f>MIN(1,SUMIFS(Roster!$N$5:$N$1504,Roster!$B$5:$B$1504,$A234))</f>
        <v>1</v>
      </c>
      <c r="O234" s="100">
        <f>SUMIFS(Roster!$L$5:$L$1504,Roster!$B$5:$B$1504,$A234)</f>
        <v>8</v>
      </c>
      <c r="P234" s="83">
        <f>SUMIFS(Roster!$M$5:$M$1504,Roster!$B$5:$B$1504,$A234)*J234</f>
        <v>115173.33333333333</v>
      </c>
      <c r="Q234" s="83">
        <f>SUMIFS(Roster!$O$5:$O$1504,Roster!$B$5:$B$1504,$A234)*J234</f>
        <v>172760</v>
      </c>
      <c r="R234" s="82">
        <f t="shared" si="23"/>
        <v>172760</v>
      </c>
      <c r="S234" s="82">
        <f t="shared" si="24"/>
        <v>0</v>
      </c>
      <c r="T234" s="82">
        <f t="shared" si="25"/>
        <v>560</v>
      </c>
      <c r="U234" s="82">
        <f t="shared" si="26"/>
        <v>0</v>
      </c>
      <c r="V234" s="83">
        <f>IF(COUNTIFS(Roster!$B$5:$B$1504,$A234,Roster!$G$5:$G$1504,"&gt;0")=0,0,SUMIFS(Roster!$H$5:$H$1504,Roster!$B$5:$B$1504,$A234,Roster!$G$5:$G$1504,_xlfn.MAXIFS(Roster!$G$5:$G$1504,Roster!$B$5:$B$1504,$A234)))</f>
        <v>0</v>
      </c>
      <c r="W234" s="101" t="str">
        <f t="shared" si="27"/>
        <v>Filled</v>
      </c>
    </row>
    <row r="235" spans="1:23" x14ac:dyDescent="0.25">
      <c r="A235" s="76" t="s">
        <v>648</v>
      </c>
      <c r="B235" s="76" t="s">
        <v>354</v>
      </c>
      <c r="C235" s="76" t="s">
        <v>628</v>
      </c>
      <c r="D235" s="97">
        <v>2</v>
      </c>
      <c r="E235" s="98" t="s">
        <v>325</v>
      </c>
      <c r="F235" s="78">
        <v>75500</v>
      </c>
      <c r="G235" s="97">
        <v>4</v>
      </c>
      <c r="H235" s="98" t="s">
        <v>399</v>
      </c>
      <c r="J235" s="99">
        <f>1+Assumptions!$B$11+INDEX(Assumptions!$B$12:$B$15,D235)*Assumptions!$B$16</f>
        <v>1.35</v>
      </c>
      <c r="K235" s="82">
        <f t="shared" si="21"/>
        <v>101925</v>
      </c>
      <c r="L235" s="100">
        <f>IF(E235="Yes",MAX(0,Assumptions!$B$8-G235+1),0)</f>
        <v>5</v>
      </c>
      <c r="M235" s="82">
        <f t="shared" si="22"/>
        <v>42468.75</v>
      </c>
      <c r="N235" s="100">
        <f>MIN(1,SUMIFS(Roster!$N$5:$N$1504,Roster!$B$5:$B$1504,$A235))</f>
        <v>0</v>
      </c>
      <c r="O235" s="100">
        <f>SUMIFS(Roster!$L$5:$L$1504,Roster!$B$5:$B$1504,$A235)</f>
        <v>0</v>
      </c>
      <c r="P235" s="83">
        <f>SUMIFS(Roster!$M$5:$M$1504,Roster!$B$5:$B$1504,$A235)*J235</f>
        <v>0</v>
      </c>
      <c r="Q235" s="83">
        <f>SUMIFS(Roster!$O$5:$O$1504,Roster!$B$5:$B$1504,$A235)*J235</f>
        <v>0</v>
      </c>
      <c r="R235" s="82">
        <f t="shared" si="23"/>
        <v>101925</v>
      </c>
      <c r="S235" s="82">
        <f t="shared" si="24"/>
        <v>42468.75</v>
      </c>
      <c r="T235" s="82">
        <f t="shared" si="25"/>
        <v>0</v>
      </c>
      <c r="U235" s="82">
        <f t="shared" si="26"/>
        <v>0</v>
      </c>
      <c r="V235" s="83">
        <f>IF(COUNTIFS(Roster!$B$5:$B$1504,$A235,Roster!$G$5:$G$1504,"&gt;0")=0,0,SUMIFS(Roster!$H$5:$H$1504,Roster!$B$5:$B$1504,$A235,Roster!$G$5:$G$1504,_xlfn.MAXIFS(Roster!$G$5:$G$1504,Roster!$B$5:$B$1504,$A235)))</f>
        <v>0</v>
      </c>
      <c r="W235" s="101" t="str">
        <f t="shared" si="27"/>
        <v>Open: to fill</v>
      </c>
    </row>
    <row r="236" spans="1:23" x14ac:dyDescent="0.25">
      <c r="A236" s="76" t="s">
        <v>649</v>
      </c>
      <c r="B236" s="76" t="s">
        <v>354</v>
      </c>
      <c r="C236" s="76" t="s">
        <v>626</v>
      </c>
      <c r="D236" s="97">
        <v>1</v>
      </c>
      <c r="E236" s="98" t="s">
        <v>325</v>
      </c>
      <c r="F236" s="78">
        <v>62500</v>
      </c>
      <c r="G236" s="97">
        <v>3</v>
      </c>
      <c r="H236" s="98" t="s">
        <v>399</v>
      </c>
      <c r="J236" s="99">
        <f>1+Assumptions!$B$11+INDEX(Assumptions!$B$12:$B$15,D236)*Assumptions!$B$16</f>
        <v>1.3</v>
      </c>
      <c r="K236" s="82">
        <f t="shared" si="21"/>
        <v>81250</v>
      </c>
      <c r="L236" s="100">
        <f>IF(E236="Yes",MAX(0,Assumptions!$B$8-G236+1),0)</f>
        <v>6</v>
      </c>
      <c r="M236" s="82">
        <f t="shared" si="22"/>
        <v>40625</v>
      </c>
      <c r="N236" s="100">
        <f>MIN(1,SUMIFS(Roster!$N$5:$N$1504,Roster!$B$5:$B$1504,$A236))</f>
        <v>1</v>
      </c>
      <c r="O236" s="100">
        <f>SUMIFS(Roster!$L$5:$L$1504,Roster!$B$5:$B$1504,$A236)</f>
        <v>6</v>
      </c>
      <c r="P236" s="83">
        <f>SUMIFS(Roster!$M$5:$M$1504,Roster!$B$5:$B$1504,$A236)*J236</f>
        <v>39975</v>
      </c>
      <c r="Q236" s="83">
        <f>SUMIFS(Roster!$O$5:$O$1504,Roster!$B$5:$B$1504,$A236)*J236</f>
        <v>79950</v>
      </c>
      <c r="R236" s="82">
        <f t="shared" si="23"/>
        <v>79950</v>
      </c>
      <c r="S236" s="82">
        <f t="shared" si="24"/>
        <v>0</v>
      </c>
      <c r="T236" s="82">
        <f t="shared" si="25"/>
        <v>650</v>
      </c>
      <c r="U236" s="82">
        <f t="shared" si="26"/>
        <v>0</v>
      </c>
      <c r="V236" s="83">
        <f>IF(COUNTIFS(Roster!$B$5:$B$1504,$A236,Roster!$G$5:$G$1504,"&gt;0")=0,0,SUMIFS(Roster!$H$5:$H$1504,Roster!$B$5:$B$1504,$A236,Roster!$G$5:$G$1504,_xlfn.MAXIFS(Roster!$G$5:$G$1504,Roster!$B$5:$B$1504,$A236)))</f>
        <v>0</v>
      </c>
      <c r="W236" s="101" t="str">
        <f t="shared" si="27"/>
        <v>Filled</v>
      </c>
    </row>
    <row r="237" spans="1:23" x14ac:dyDescent="0.25">
      <c r="A237" s="76" t="s">
        <v>650</v>
      </c>
      <c r="B237" s="76" t="s">
        <v>356</v>
      </c>
      <c r="C237" s="76" t="s">
        <v>651</v>
      </c>
      <c r="D237" s="97">
        <v>2</v>
      </c>
      <c r="E237" s="98" t="s">
        <v>325</v>
      </c>
      <c r="F237" s="78">
        <v>75000</v>
      </c>
      <c r="G237" s="97">
        <v>1</v>
      </c>
      <c r="H237" s="98" t="s">
        <v>399</v>
      </c>
      <c r="J237" s="99">
        <f>1+Assumptions!$B$11+INDEX(Assumptions!$B$12:$B$15,D237)*Assumptions!$B$16</f>
        <v>1.35</v>
      </c>
      <c r="K237" s="82">
        <f t="shared" si="21"/>
        <v>101250</v>
      </c>
      <c r="L237" s="100">
        <f>IF(E237="Yes",MAX(0,Assumptions!$B$8-G237+1),0)</f>
        <v>8</v>
      </c>
      <c r="M237" s="82">
        <f t="shared" si="22"/>
        <v>67500</v>
      </c>
      <c r="N237" s="100">
        <f>MIN(1,SUMIFS(Roster!$N$5:$N$1504,Roster!$B$5:$B$1504,$A237))</f>
        <v>1</v>
      </c>
      <c r="O237" s="100">
        <f>SUMIFS(Roster!$L$5:$L$1504,Roster!$B$5:$B$1504,$A237)</f>
        <v>8</v>
      </c>
      <c r="P237" s="83">
        <f>SUMIFS(Roster!$M$5:$M$1504,Roster!$B$5:$B$1504,$A237)*J237</f>
        <v>67500</v>
      </c>
      <c r="Q237" s="83">
        <f>SUMIFS(Roster!$O$5:$O$1504,Roster!$B$5:$B$1504,$A237)*J237</f>
        <v>101250</v>
      </c>
      <c r="R237" s="82">
        <f t="shared" si="23"/>
        <v>101250</v>
      </c>
      <c r="S237" s="82">
        <f t="shared" si="24"/>
        <v>0</v>
      </c>
      <c r="T237" s="82">
        <f t="shared" si="25"/>
        <v>0</v>
      </c>
      <c r="U237" s="82">
        <f t="shared" si="26"/>
        <v>0</v>
      </c>
      <c r="V237" s="83">
        <f>IF(COUNTIFS(Roster!$B$5:$B$1504,$A237,Roster!$G$5:$G$1504,"&gt;0")=0,0,SUMIFS(Roster!$H$5:$H$1504,Roster!$B$5:$B$1504,$A237,Roster!$G$5:$G$1504,_xlfn.MAXIFS(Roster!$G$5:$G$1504,Roster!$B$5:$B$1504,$A237)))</f>
        <v>0</v>
      </c>
      <c r="W237" s="101" t="str">
        <f t="shared" si="27"/>
        <v>Filled</v>
      </c>
    </row>
    <row r="238" spans="1:23" x14ac:dyDescent="0.25">
      <c r="A238" s="76" t="s">
        <v>652</v>
      </c>
      <c r="B238" s="76" t="s">
        <v>356</v>
      </c>
      <c r="C238" s="76" t="s">
        <v>651</v>
      </c>
      <c r="D238" s="97">
        <v>2</v>
      </c>
      <c r="E238" s="98" t="s">
        <v>325</v>
      </c>
      <c r="F238" s="78">
        <v>79500</v>
      </c>
      <c r="G238" s="97">
        <v>1</v>
      </c>
      <c r="H238" s="98" t="s">
        <v>399</v>
      </c>
      <c r="J238" s="99">
        <f>1+Assumptions!$B$11+INDEX(Assumptions!$B$12:$B$15,D238)*Assumptions!$B$16</f>
        <v>1.35</v>
      </c>
      <c r="K238" s="82">
        <f t="shared" si="21"/>
        <v>107325</v>
      </c>
      <c r="L238" s="100">
        <f>IF(E238="Yes",MAX(0,Assumptions!$B$8-G238+1),0)</f>
        <v>8</v>
      </c>
      <c r="M238" s="82">
        <f t="shared" si="22"/>
        <v>71550</v>
      </c>
      <c r="N238" s="100">
        <f>MIN(1,SUMIFS(Roster!$N$5:$N$1504,Roster!$B$5:$B$1504,$A238))</f>
        <v>1</v>
      </c>
      <c r="O238" s="100">
        <f>SUMIFS(Roster!$L$5:$L$1504,Roster!$B$5:$B$1504,$A238)</f>
        <v>8</v>
      </c>
      <c r="P238" s="83">
        <f>SUMIFS(Roster!$M$5:$M$1504,Roster!$B$5:$B$1504,$A238)*J238</f>
        <v>71010</v>
      </c>
      <c r="Q238" s="83">
        <f>SUMIFS(Roster!$O$5:$O$1504,Roster!$B$5:$B$1504,$A238)*J238</f>
        <v>106515</v>
      </c>
      <c r="R238" s="82">
        <f t="shared" si="23"/>
        <v>106515</v>
      </c>
      <c r="S238" s="82">
        <f t="shared" si="24"/>
        <v>0</v>
      </c>
      <c r="T238" s="82">
        <f t="shared" si="25"/>
        <v>540</v>
      </c>
      <c r="U238" s="82">
        <f t="shared" si="26"/>
        <v>0</v>
      </c>
      <c r="V238" s="83">
        <f>IF(COUNTIFS(Roster!$B$5:$B$1504,$A238,Roster!$G$5:$G$1504,"&gt;0")=0,0,SUMIFS(Roster!$H$5:$H$1504,Roster!$B$5:$B$1504,$A238,Roster!$G$5:$G$1504,_xlfn.MAXIFS(Roster!$G$5:$G$1504,Roster!$B$5:$B$1504,$A238)))</f>
        <v>0</v>
      </c>
      <c r="W238" s="101" t="str">
        <f t="shared" si="27"/>
        <v>Filled</v>
      </c>
    </row>
    <row r="239" spans="1:23" x14ac:dyDescent="0.25">
      <c r="A239" s="76" t="s">
        <v>653</v>
      </c>
      <c r="B239" s="76" t="s">
        <v>356</v>
      </c>
      <c r="C239" s="76" t="s">
        <v>654</v>
      </c>
      <c r="D239" s="97">
        <v>1</v>
      </c>
      <c r="E239" s="98" t="s">
        <v>325</v>
      </c>
      <c r="F239" s="78">
        <v>54000</v>
      </c>
      <c r="G239" s="97">
        <v>1</v>
      </c>
      <c r="H239" s="98" t="s">
        <v>399</v>
      </c>
      <c r="J239" s="99">
        <f>1+Assumptions!$B$11+INDEX(Assumptions!$B$12:$B$15,D239)*Assumptions!$B$16</f>
        <v>1.3</v>
      </c>
      <c r="K239" s="82">
        <f t="shared" si="21"/>
        <v>70200</v>
      </c>
      <c r="L239" s="100">
        <f>IF(E239="Yes",MAX(0,Assumptions!$B$8-G239+1),0)</f>
        <v>8</v>
      </c>
      <c r="M239" s="82">
        <f t="shared" si="22"/>
        <v>46800</v>
      </c>
      <c r="N239" s="100">
        <f>MIN(1,SUMIFS(Roster!$N$5:$N$1504,Roster!$B$5:$B$1504,$A239))</f>
        <v>1</v>
      </c>
      <c r="O239" s="100">
        <f>SUMIFS(Roster!$L$5:$L$1504,Roster!$B$5:$B$1504,$A239)</f>
        <v>8</v>
      </c>
      <c r="P239" s="83">
        <f>SUMIFS(Roster!$M$5:$M$1504,Roster!$B$5:$B$1504,$A239)*J239</f>
        <v>47320</v>
      </c>
      <c r="Q239" s="83">
        <f>SUMIFS(Roster!$O$5:$O$1504,Roster!$B$5:$B$1504,$A239)*J239</f>
        <v>70980</v>
      </c>
      <c r="R239" s="82">
        <f t="shared" si="23"/>
        <v>70980</v>
      </c>
      <c r="S239" s="82">
        <f t="shared" si="24"/>
        <v>0</v>
      </c>
      <c r="T239" s="82">
        <f t="shared" si="25"/>
        <v>-520</v>
      </c>
      <c r="U239" s="82">
        <f t="shared" si="26"/>
        <v>0</v>
      </c>
      <c r="V239" s="83">
        <f>IF(COUNTIFS(Roster!$B$5:$B$1504,$A239,Roster!$G$5:$G$1504,"&gt;0")=0,0,SUMIFS(Roster!$H$5:$H$1504,Roster!$B$5:$B$1504,$A239,Roster!$G$5:$G$1504,_xlfn.MAXIFS(Roster!$G$5:$G$1504,Roster!$B$5:$B$1504,$A239)))</f>
        <v>0</v>
      </c>
      <c r="W239" s="101" t="str">
        <f t="shared" si="27"/>
        <v>Filled</v>
      </c>
    </row>
    <row r="240" spans="1:23" x14ac:dyDescent="0.25">
      <c r="A240" s="76" t="s">
        <v>655</v>
      </c>
      <c r="B240" s="76" t="s">
        <v>356</v>
      </c>
      <c r="C240" s="76" t="s">
        <v>656</v>
      </c>
      <c r="D240" s="97">
        <v>2</v>
      </c>
      <c r="E240" s="98" t="s">
        <v>325</v>
      </c>
      <c r="F240" s="78">
        <v>85500</v>
      </c>
      <c r="G240" s="97">
        <v>1</v>
      </c>
      <c r="H240" s="98" t="s">
        <v>399</v>
      </c>
      <c r="J240" s="99">
        <f>1+Assumptions!$B$11+INDEX(Assumptions!$B$12:$B$15,D240)*Assumptions!$B$16</f>
        <v>1.35</v>
      </c>
      <c r="K240" s="82">
        <f t="shared" si="21"/>
        <v>115425.00000000001</v>
      </c>
      <c r="L240" s="100">
        <f>IF(E240="Yes",MAX(0,Assumptions!$B$8-G240+1),0)</f>
        <v>8</v>
      </c>
      <c r="M240" s="82">
        <f t="shared" si="22"/>
        <v>76950.000000000015</v>
      </c>
      <c r="N240" s="100">
        <f>MIN(1,SUMIFS(Roster!$N$5:$N$1504,Roster!$B$5:$B$1504,$A240))</f>
        <v>1</v>
      </c>
      <c r="O240" s="100">
        <f>SUMIFS(Roster!$L$5:$L$1504,Roster!$B$5:$B$1504,$A240)</f>
        <v>8</v>
      </c>
      <c r="P240" s="83">
        <f>SUMIFS(Roster!$M$5:$M$1504,Roster!$B$5:$B$1504,$A240)*J240</f>
        <v>77130.000000000015</v>
      </c>
      <c r="Q240" s="83">
        <f>SUMIFS(Roster!$O$5:$O$1504,Roster!$B$5:$B$1504,$A240)*J240</f>
        <v>115695.00000000001</v>
      </c>
      <c r="R240" s="82">
        <f t="shared" si="23"/>
        <v>115695.00000000001</v>
      </c>
      <c r="S240" s="82">
        <f t="shared" si="24"/>
        <v>0</v>
      </c>
      <c r="T240" s="82">
        <f t="shared" si="25"/>
        <v>-180</v>
      </c>
      <c r="U240" s="82">
        <f t="shared" si="26"/>
        <v>0</v>
      </c>
      <c r="V240" s="83">
        <f>IF(COUNTIFS(Roster!$B$5:$B$1504,$A240,Roster!$G$5:$G$1504,"&gt;0")=0,0,SUMIFS(Roster!$H$5:$H$1504,Roster!$B$5:$B$1504,$A240,Roster!$G$5:$G$1504,_xlfn.MAXIFS(Roster!$G$5:$G$1504,Roster!$B$5:$B$1504,$A240)))</f>
        <v>0</v>
      </c>
      <c r="W240" s="101" t="str">
        <f t="shared" si="27"/>
        <v>Filled</v>
      </c>
    </row>
    <row r="241" spans="1:23" x14ac:dyDescent="0.25">
      <c r="A241" s="76" t="s">
        <v>657</v>
      </c>
      <c r="B241" s="76" t="s">
        <v>356</v>
      </c>
      <c r="C241" s="76" t="s">
        <v>651</v>
      </c>
      <c r="D241" s="97">
        <v>2</v>
      </c>
      <c r="E241" s="98" t="s">
        <v>325</v>
      </c>
      <c r="F241" s="78">
        <v>96500</v>
      </c>
      <c r="G241" s="97">
        <v>1</v>
      </c>
      <c r="H241" s="98" t="s">
        <v>399</v>
      </c>
      <c r="J241" s="99">
        <f>1+Assumptions!$B$11+INDEX(Assumptions!$B$12:$B$15,D241)*Assumptions!$B$16</f>
        <v>1.35</v>
      </c>
      <c r="K241" s="82">
        <f t="shared" si="21"/>
        <v>130275.00000000001</v>
      </c>
      <c r="L241" s="100">
        <f>IF(E241="Yes",MAX(0,Assumptions!$B$8-G241+1),0)</f>
        <v>8</v>
      </c>
      <c r="M241" s="82">
        <f t="shared" si="22"/>
        <v>86850.000000000015</v>
      </c>
      <c r="N241" s="100">
        <f>MIN(1,SUMIFS(Roster!$N$5:$N$1504,Roster!$B$5:$B$1504,$A241))</f>
        <v>1</v>
      </c>
      <c r="O241" s="100">
        <f>SUMIFS(Roster!$L$5:$L$1504,Roster!$B$5:$B$1504,$A241)</f>
        <v>8</v>
      </c>
      <c r="P241" s="83">
        <f>SUMIFS(Roster!$M$5:$M$1504,Roster!$B$5:$B$1504,$A241)*J241</f>
        <v>85950</v>
      </c>
      <c r="Q241" s="83">
        <f>SUMIFS(Roster!$O$5:$O$1504,Roster!$B$5:$B$1504,$A241)*J241</f>
        <v>128925.00000000001</v>
      </c>
      <c r="R241" s="82">
        <f t="shared" si="23"/>
        <v>128925.00000000001</v>
      </c>
      <c r="S241" s="82">
        <f t="shared" si="24"/>
        <v>0</v>
      </c>
      <c r="T241" s="82">
        <f t="shared" si="25"/>
        <v>900.00000000001455</v>
      </c>
      <c r="U241" s="82">
        <f t="shared" si="26"/>
        <v>0</v>
      </c>
      <c r="V241" s="83">
        <f>IF(COUNTIFS(Roster!$B$5:$B$1504,$A241,Roster!$G$5:$G$1504,"&gt;0")=0,0,SUMIFS(Roster!$H$5:$H$1504,Roster!$B$5:$B$1504,$A241,Roster!$G$5:$G$1504,_xlfn.MAXIFS(Roster!$G$5:$G$1504,Roster!$B$5:$B$1504,$A241)))</f>
        <v>0</v>
      </c>
      <c r="W241" s="101" t="str">
        <f t="shared" si="27"/>
        <v>Filled</v>
      </c>
    </row>
    <row r="242" spans="1:23" x14ac:dyDescent="0.25">
      <c r="A242" s="76" t="s">
        <v>658</v>
      </c>
      <c r="B242" s="76" t="s">
        <v>356</v>
      </c>
      <c r="C242" s="76" t="s">
        <v>654</v>
      </c>
      <c r="D242" s="97">
        <v>1</v>
      </c>
      <c r="E242" s="98" t="s">
        <v>325</v>
      </c>
      <c r="F242" s="78">
        <v>62500</v>
      </c>
      <c r="G242" s="97">
        <v>1</v>
      </c>
      <c r="H242" s="98" t="s">
        <v>399</v>
      </c>
      <c r="J242" s="99">
        <f>1+Assumptions!$B$11+INDEX(Assumptions!$B$12:$B$15,D242)*Assumptions!$B$16</f>
        <v>1.3</v>
      </c>
      <c r="K242" s="82">
        <f t="shared" si="21"/>
        <v>81250</v>
      </c>
      <c r="L242" s="100">
        <f>IF(E242="Yes",MAX(0,Assumptions!$B$8-G242+1),0)</f>
        <v>8</v>
      </c>
      <c r="M242" s="82">
        <f t="shared" si="22"/>
        <v>54166.666666666664</v>
      </c>
      <c r="N242" s="100">
        <f>MIN(1,SUMIFS(Roster!$N$5:$N$1504,Roster!$B$5:$B$1504,$A242))</f>
        <v>1</v>
      </c>
      <c r="O242" s="100">
        <f>SUMIFS(Roster!$L$5:$L$1504,Roster!$B$5:$B$1504,$A242)</f>
        <v>8</v>
      </c>
      <c r="P242" s="83">
        <f>SUMIFS(Roster!$M$5:$M$1504,Roster!$B$5:$B$1504,$A242)*J242</f>
        <v>53906.666666666664</v>
      </c>
      <c r="Q242" s="83">
        <f>SUMIFS(Roster!$O$5:$O$1504,Roster!$B$5:$B$1504,$A242)*J242</f>
        <v>80860</v>
      </c>
      <c r="R242" s="82">
        <f t="shared" si="23"/>
        <v>80860</v>
      </c>
      <c r="S242" s="82">
        <f t="shared" si="24"/>
        <v>0</v>
      </c>
      <c r="T242" s="82">
        <f t="shared" si="25"/>
        <v>260</v>
      </c>
      <c r="U242" s="82">
        <f t="shared" si="26"/>
        <v>0</v>
      </c>
      <c r="V242" s="83">
        <f>IF(COUNTIFS(Roster!$B$5:$B$1504,$A242,Roster!$G$5:$G$1504,"&gt;0")=0,0,SUMIFS(Roster!$H$5:$H$1504,Roster!$B$5:$B$1504,$A242,Roster!$G$5:$G$1504,_xlfn.MAXIFS(Roster!$G$5:$G$1504,Roster!$B$5:$B$1504,$A242)))</f>
        <v>0</v>
      </c>
      <c r="W242" s="101" t="str">
        <f t="shared" si="27"/>
        <v>Filled</v>
      </c>
    </row>
    <row r="243" spans="1:23" x14ac:dyDescent="0.25">
      <c r="A243" s="76" t="s">
        <v>659</v>
      </c>
      <c r="B243" s="76" t="s">
        <v>356</v>
      </c>
      <c r="C243" s="76" t="s">
        <v>656</v>
      </c>
      <c r="D243" s="97">
        <v>2</v>
      </c>
      <c r="E243" s="98" t="s">
        <v>325</v>
      </c>
      <c r="F243" s="78">
        <v>88500</v>
      </c>
      <c r="G243" s="97">
        <v>1</v>
      </c>
      <c r="H243" s="98" t="s">
        <v>399</v>
      </c>
      <c r="J243" s="99">
        <f>1+Assumptions!$B$11+INDEX(Assumptions!$B$12:$B$15,D243)*Assumptions!$B$16</f>
        <v>1.35</v>
      </c>
      <c r="K243" s="82">
        <f t="shared" si="21"/>
        <v>119475.00000000001</v>
      </c>
      <c r="L243" s="100">
        <f>IF(E243="Yes",MAX(0,Assumptions!$B$8-G243+1),0)</f>
        <v>8</v>
      </c>
      <c r="M243" s="82">
        <f t="shared" si="22"/>
        <v>79650.000000000015</v>
      </c>
      <c r="N243" s="100">
        <f>MIN(1,SUMIFS(Roster!$N$5:$N$1504,Roster!$B$5:$B$1504,$A243))</f>
        <v>1</v>
      </c>
      <c r="O243" s="100">
        <f>SUMIFS(Roster!$L$5:$L$1504,Roster!$B$5:$B$1504,$A243)</f>
        <v>8</v>
      </c>
      <c r="P243" s="83">
        <f>SUMIFS(Roster!$M$5:$M$1504,Roster!$B$5:$B$1504,$A243)*J243</f>
        <v>78840</v>
      </c>
      <c r="Q243" s="83">
        <f>SUMIFS(Roster!$O$5:$O$1504,Roster!$B$5:$B$1504,$A243)*J243</f>
        <v>118260.00000000001</v>
      </c>
      <c r="R243" s="82">
        <f t="shared" si="23"/>
        <v>118260.00000000001</v>
      </c>
      <c r="S243" s="82">
        <f t="shared" si="24"/>
        <v>0</v>
      </c>
      <c r="T243" s="82">
        <f t="shared" si="25"/>
        <v>810.00000000001455</v>
      </c>
      <c r="U243" s="82">
        <f t="shared" si="26"/>
        <v>0</v>
      </c>
      <c r="V243" s="83">
        <f>IF(COUNTIFS(Roster!$B$5:$B$1504,$A243,Roster!$G$5:$G$1504,"&gt;0")=0,0,SUMIFS(Roster!$H$5:$H$1504,Roster!$B$5:$B$1504,$A243,Roster!$G$5:$G$1504,_xlfn.MAXIFS(Roster!$G$5:$G$1504,Roster!$B$5:$B$1504,$A243)))</f>
        <v>0</v>
      </c>
      <c r="W243" s="101" t="str">
        <f t="shared" si="27"/>
        <v>Filled</v>
      </c>
    </row>
    <row r="244" spans="1:23" x14ac:dyDescent="0.25">
      <c r="A244" s="76" t="s">
        <v>660</v>
      </c>
      <c r="B244" s="76" t="s">
        <v>356</v>
      </c>
      <c r="C244" s="76" t="s">
        <v>651</v>
      </c>
      <c r="D244" s="97">
        <v>2</v>
      </c>
      <c r="E244" s="98" t="s">
        <v>325</v>
      </c>
      <c r="F244" s="78">
        <v>88000</v>
      </c>
      <c r="G244" s="97">
        <v>1</v>
      </c>
      <c r="H244" s="98" t="s">
        <v>399</v>
      </c>
      <c r="J244" s="99">
        <f>1+Assumptions!$B$11+INDEX(Assumptions!$B$12:$B$15,D244)*Assumptions!$B$16</f>
        <v>1.35</v>
      </c>
      <c r="K244" s="82">
        <f t="shared" si="21"/>
        <v>118800.00000000001</v>
      </c>
      <c r="L244" s="100">
        <f>IF(E244="Yes",MAX(0,Assumptions!$B$8-G244+1),0)</f>
        <v>8</v>
      </c>
      <c r="M244" s="82">
        <f t="shared" si="22"/>
        <v>79200.000000000015</v>
      </c>
      <c r="N244" s="100">
        <f>MIN(1,SUMIFS(Roster!$N$5:$N$1504,Roster!$B$5:$B$1504,$A244))</f>
        <v>1</v>
      </c>
      <c r="O244" s="100">
        <f>SUMIFS(Roster!$L$5:$L$1504,Roster!$B$5:$B$1504,$A244)</f>
        <v>8</v>
      </c>
      <c r="P244" s="83">
        <f>SUMIFS(Roster!$M$5:$M$1504,Roster!$B$5:$B$1504,$A244)*J244</f>
        <v>79830.000000000015</v>
      </c>
      <c r="Q244" s="83">
        <f>SUMIFS(Roster!$O$5:$O$1504,Roster!$B$5:$B$1504,$A244)*J244</f>
        <v>119745.00000000001</v>
      </c>
      <c r="R244" s="82">
        <f t="shared" si="23"/>
        <v>119745.00000000001</v>
      </c>
      <c r="S244" s="82">
        <f t="shared" si="24"/>
        <v>0</v>
      </c>
      <c r="T244" s="82">
        <f t="shared" si="25"/>
        <v>-630</v>
      </c>
      <c r="U244" s="82">
        <f t="shared" si="26"/>
        <v>0</v>
      </c>
      <c r="V244" s="83">
        <f>IF(COUNTIFS(Roster!$B$5:$B$1504,$A244,Roster!$G$5:$G$1504,"&gt;0")=0,0,SUMIFS(Roster!$H$5:$H$1504,Roster!$B$5:$B$1504,$A244,Roster!$G$5:$G$1504,_xlfn.MAXIFS(Roster!$G$5:$G$1504,Roster!$B$5:$B$1504,$A244)))</f>
        <v>0</v>
      </c>
      <c r="W244" s="101" t="str">
        <f t="shared" si="27"/>
        <v>Filled</v>
      </c>
    </row>
    <row r="245" spans="1:23" x14ac:dyDescent="0.25">
      <c r="A245" s="76" t="s">
        <v>661</v>
      </c>
      <c r="B245" s="76" t="s">
        <v>356</v>
      </c>
      <c r="C245" s="76" t="s">
        <v>651</v>
      </c>
      <c r="D245" s="97">
        <v>2</v>
      </c>
      <c r="E245" s="98" t="s">
        <v>325</v>
      </c>
      <c r="F245" s="78">
        <v>81500</v>
      </c>
      <c r="G245" s="97">
        <v>1</v>
      </c>
      <c r="H245" s="98" t="s">
        <v>399</v>
      </c>
      <c r="J245" s="99">
        <f>1+Assumptions!$B$11+INDEX(Assumptions!$B$12:$B$15,D245)*Assumptions!$B$16</f>
        <v>1.35</v>
      </c>
      <c r="K245" s="82">
        <f t="shared" si="21"/>
        <v>110025</v>
      </c>
      <c r="L245" s="100">
        <f>IF(E245="Yes",MAX(0,Assumptions!$B$8-G245+1),0)</f>
        <v>8</v>
      </c>
      <c r="M245" s="82">
        <f t="shared" si="22"/>
        <v>73350</v>
      </c>
      <c r="N245" s="100">
        <f>MIN(1,SUMIFS(Roster!$N$5:$N$1504,Roster!$B$5:$B$1504,$A245))</f>
        <v>1</v>
      </c>
      <c r="O245" s="100">
        <f>SUMIFS(Roster!$L$5:$L$1504,Roster!$B$5:$B$1504,$A245)</f>
        <v>8</v>
      </c>
      <c r="P245" s="83">
        <f>SUMIFS(Roster!$M$5:$M$1504,Roster!$B$5:$B$1504,$A245)*J245</f>
        <v>73620.000000000015</v>
      </c>
      <c r="Q245" s="83">
        <f>SUMIFS(Roster!$O$5:$O$1504,Roster!$B$5:$B$1504,$A245)*J245</f>
        <v>110430</v>
      </c>
      <c r="R245" s="82">
        <f t="shared" si="23"/>
        <v>110430</v>
      </c>
      <c r="S245" s="82">
        <f t="shared" si="24"/>
        <v>0</v>
      </c>
      <c r="T245" s="82">
        <f t="shared" si="25"/>
        <v>-270.00000000001455</v>
      </c>
      <c r="U245" s="82">
        <f t="shared" si="26"/>
        <v>0</v>
      </c>
      <c r="V245" s="83">
        <f>IF(COUNTIFS(Roster!$B$5:$B$1504,$A245,Roster!$G$5:$G$1504,"&gt;0")=0,0,SUMIFS(Roster!$H$5:$H$1504,Roster!$B$5:$B$1504,$A245,Roster!$G$5:$G$1504,_xlfn.MAXIFS(Roster!$G$5:$G$1504,Roster!$B$5:$B$1504,$A245)))</f>
        <v>0</v>
      </c>
      <c r="W245" s="101" t="str">
        <f t="shared" si="27"/>
        <v>Filled</v>
      </c>
    </row>
    <row r="246" spans="1:23" x14ac:dyDescent="0.25">
      <c r="A246" s="76" t="s">
        <v>662</v>
      </c>
      <c r="B246" s="76" t="s">
        <v>356</v>
      </c>
      <c r="C246" s="76" t="s">
        <v>656</v>
      </c>
      <c r="D246" s="97">
        <v>2</v>
      </c>
      <c r="E246" s="98" t="s">
        <v>325</v>
      </c>
      <c r="F246" s="78">
        <v>92000</v>
      </c>
      <c r="G246" s="97">
        <v>1</v>
      </c>
      <c r="H246" s="98" t="s">
        <v>399</v>
      </c>
      <c r="J246" s="99">
        <f>1+Assumptions!$B$11+INDEX(Assumptions!$B$12:$B$15,D246)*Assumptions!$B$16</f>
        <v>1.35</v>
      </c>
      <c r="K246" s="82">
        <f t="shared" si="21"/>
        <v>124200.00000000001</v>
      </c>
      <c r="L246" s="100">
        <f>IF(E246="Yes",MAX(0,Assumptions!$B$8-G246+1),0)</f>
        <v>8</v>
      </c>
      <c r="M246" s="82">
        <f t="shared" si="22"/>
        <v>82800.000000000015</v>
      </c>
      <c r="N246" s="100">
        <f>MIN(1,SUMIFS(Roster!$N$5:$N$1504,Roster!$B$5:$B$1504,$A246))</f>
        <v>1</v>
      </c>
      <c r="O246" s="100">
        <f>SUMIFS(Roster!$L$5:$L$1504,Roster!$B$5:$B$1504,$A246)</f>
        <v>8</v>
      </c>
      <c r="P246" s="83">
        <f>SUMIFS(Roster!$M$5:$M$1504,Roster!$B$5:$B$1504,$A246)*J246</f>
        <v>81720.000000000015</v>
      </c>
      <c r="Q246" s="83">
        <f>SUMIFS(Roster!$O$5:$O$1504,Roster!$B$5:$B$1504,$A246)*J246</f>
        <v>122580.00000000001</v>
      </c>
      <c r="R246" s="82">
        <f t="shared" si="23"/>
        <v>122580.00000000001</v>
      </c>
      <c r="S246" s="82">
        <f t="shared" si="24"/>
        <v>0</v>
      </c>
      <c r="T246" s="82">
        <f t="shared" si="25"/>
        <v>1080</v>
      </c>
      <c r="U246" s="82">
        <f t="shared" si="26"/>
        <v>0</v>
      </c>
      <c r="V246" s="83">
        <f>IF(COUNTIFS(Roster!$B$5:$B$1504,$A246,Roster!$G$5:$G$1504,"&gt;0")=0,0,SUMIFS(Roster!$H$5:$H$1504,Roster!$B$5:$B$1504,$A246,Roster!$G$5:$G$1504,_xlfn.MAXIFS(Roster!$G$5:$G$1504,Roster!$B$5:$B$1504,$A246)))</f>
        <v>0</v>
      </c>
      <c r="W246" s="101" t="str">
        <f t="shared" si="27"/>
        <v>Filled</v>
      </c>
    </row>
    <row r="247" spans="1:23" x14ac:dyDescent="0.25">
      <c r="A247" s="76" t="s">
        <v>663</v>
      </c>
      <c r="B247" s="76" t="s">
        <v>356</v>
      </c>
      <c r="C247" s="76" t="s">
        <v>651</v>
      </c>
      <c r="D247" s="97">
        <v>2</v>
      </c>
      <c r="E247" s="98" t="s">
        <v>325</v>
      </c>
      <c r="F247" s="78">
        <v>95000</v>
      </c>
      <c r="G247" s="97">
        <v>1</v>
      </c>
      <c r="H247" s="98" t="s">
        <v>399</v>
      </c>
      <c r="J247" s="99">
        <f>1+Assumptions!$B$11+INDEX(Assumptions!$B$12:$B$15,D247)*Assumptions!$B$16</f>
        <v>1.35</v>
      </c>
      <c r="K247" s="82">
        <f t="shared" si="21"/>
        <v>128250.00000000001</v>
      </c>
      <c r="L247" s="100">
        <f>IF(E247="Yes",MAX(0,Assumptions!$B$8-G247+1),0)</f>
        <v>8</v>
      </c>
      <c r="M247" s="82">
        <f t="shared" si="22"/>
        <v>85500.000000000015</v>
      </c>
      <c r="N247" s="100">
        <f>MIN(1,SUMIFS(Roster!$N$5:$N$1504,Roster!$B$5:$B$1504,$A247))</f>
        <v>1</v>
      </c>
      <c r="O247" s="100">
        <f>SUMIFS(Roster!$L$5:$L$1504,Roster!$B$5:$B$1504,$A247)</f>
        <v>8</v>
      </c>
      <c r="P247" s="83">
        <f>SUMIFS(Roster!$M$5:$M$1504,Roster!$B$5:$B$1504,$A247)*J247</f>
        <v>84420.000000000015</v>
      </c>
      <c r="Q247" s="83">
        <f>SUMIFS(Roster!$O$5:$O$1504,Roster!$B$5:$B$1504,$A247)*J247</f>
        <v>126630.00000000001</v>
      </c>
      <c r="R247" s="82">
        <f t="shared" si="23"/>
        <v>126630.00000000001</v>
      </c>
      <c r="S247" s="82">
        <f t="shared" si="24"/>
        <v>0</v>
      </c>
      <c r="T247" s="82">
        <f t="shared" si="25"/>
        <v>1080</v>
      </c>
      <c r="U247" s="82">
        <f t="shared" si="26"/>
        <v>0</v>
      </c>
      <c r="V247" s="83">
        <f>IF(COUNTIFS(Roster!$B$5:$B$1504,$A247,Roster!$G$5:$G$1504,"&gt;0")=0,0,SUMIFS(Roster!$H$5:$H$1504,Roster!$B$5:$B$1504,$A247,Roster!$G$5:$G$1504,_xlfn.MAXIFS(Roster!$G$5:$G$1504,Roster!$B$5:$B$1504,$A247)))</f>
        <v>0</v>
      </c>
      <c r="W247" s="101" t="str">
        <f t="shared" si="27"/>
        <v>Filled</v>
      </c>
    </row>
    <row r="248" spans="1:23" x14ac:dyDescent="0.25">
      <c r="A248" s="76" t="s">
        <v>664</v>
      </c>
      <c r="B248" s="76" t="s">
        <v>356</v>
      </c>
      <c r="C248" s="76" t="s">
        <v>665</v>
      </c>
      <c r="D248" s="97">
        <v>3</v>
      </c>
      <c r="E248" s="98" t="s">
        <v>325</v>
      </c>
      <c r="F248" s="78">
        <v>130000</v>
      </c>
      <c r="G248" s="97">
        <v>1</v>
      </c>
      <c r="H248" s="98" t="s">
        <v>399</v>
      </c>
      <c r="J248" s="99">
        <f>1+Assumptions!$B$11+INDEX(Assumptions!$B$12:$B$15,D248)*Assumptions!$B$16</f>
        <v>1.4</v>
      </c>
      <c r="K248" s="82">
        <f t="shared" si="21"/>
        <v>182000</v>
      </c>
      <c r="L248" s="100">
        <f>IF(E248="Yes",MAX(0,Assumptions!$B$8-G248+1),0)</f>
        <v>8</v>
      </c>
      <c r="M248" s="82">
        <f t="shared" si="22"/>
        <v>121333.33333333333</v>
      </c>
      <c r="N248" s="100">
        <f>MIN(1,SUMIFS(Roster!$N$5:$N$1504,Roster!$B$5:$B$1504,$A248))</f>
        <v>1</v>
      </c>
      <c r="O248" s="100">
        <f>SUMIFS(Roster!$L$5:$L$1504,Roster!$B$5:$B$1504,$A248)</f>
        <v>8</v>
      </c>
      <c r="P248" s="83">
        <f>SUMIFS(Roster!$M$5:$M$1504,Roster!$B$5:$B$1504,$A248)*J248</f>
        <v>120213.33333333333</v>
      </c>
      <c r="Q248" s="83">
        <f>SUMIFS(Roster!$O$5:$O$1504,Roster!$B$5:$B$1504,$A248)*J248</f>
        <v>180320</v>
      </c>
      <c r="R248" s="82">
        <f t="shared" si="23"/>
        <v>180320</v>
      </c>
      <c r="S248" s="82">
        <f t="shared" si="24"/>
        <v>0</v>
      </c>
      <c r="T248" s="82">
        <f t="shared" si="25"/>
        <v>1120</v>
      </c>
      <c r="U248" s="82">
        <f t="shared" si="26"/>
        <v>0</v>
      </c>
      <c r="V248" s="83">
        <f>IF(COUNTIFS(Roster!$B$5:$B$1504,$A248,Roster!$G$5:$G$1504,"&gt;0")=0,0,SUMIFS(Roster!$H$5:$H$1504,Roster!$B$5:$B$1504,$A248,Roster!$G$5:$G$1504,_xlfn.MAXIFS(Roster!$G$5:$G$1504,Roster!$B$5:$B$1504,$A248)))</f>
        <v>0</v>
      </c>
      <c r="W248" s="101" t="str">
        <f t="shared" si="27"/>
        <v>Filled</v>
      </c>
    </row>
    <row r="249" spans="1:23" x14ac:dyDescent="0.25">
      <c r="A249" s="76" t="s">
        <v>666</v>
      </c>
      <c r="B249" s="76" t="s">
        <v>356</v>
      </c>
      <c r="C249" s="76" t="s">
        <v>665</v>
      </c>
      <c r="D249" s="97">
        <v>3</v>
      </c>
      <c r="E249" s="98" t="s">
        <v>325</v>
      </c>
      <c r="F249" s="78">
        <v>111500</v>
      </c>
      <c r="G249" s="97">
        <v>1</v>
      </c>
      <c r="H249" s="98" t="s">
        <v>399</v>
      </c>
      <c r="J249" s="99">
        <f>1+Assumptions!$B$11+INDEX(Assumptions!$B$12:$B$15,D249)*Assumptions!$B$16</f>
        <v>1.4</v>
      </c>
      <c r="K249" s="82">
        <f t="shared" si="21"/>
        <v>156100</v>
      </c>
      <c r="L249" s="100">
        <f>IF(E249="Yes",MAX(0,Assumptions!$B$8-G249+1),0)</f>
        <v>8</v>
      </c>
      <c r="M249" s="82">
        <f t="shared" si="22"/>
        <v>104066.66666666667</v>
      </c>
      <c r="N249" s="100">
        <f>MIN(1,SUMIFS(Roster!$N$5:$N$1504,Roster!$B$5:$B$1504,$A249))</f>
        <v>1</v>
      </c>
      <c r="O249" s="100">
        <f>SUMIFS(Roster!$L$5:$L$1504,Roster!$B$5:$B$1504,$A249)</f>
        <v>8</v>
      </c>
      <c r="P249" s="83">
        <f>SUMIFS(Roster!$M$5:$M$1504,Roster!$B$5:$B$1504,$A249)*J249</f>
        <v>104533.33333333333</v>
      </c>
      <c r="Q249" s="83">
        <f>SUMIFS(Roster!$O$5:$O$1504,Roster!$B$5:$B$1504,$A249)*J249</f>
        <v>156800</v>
      </c>
      <c r="R249" s="82">
        <f t="shared" si="23"/>
        <v>156800</v>
      </c>
      <c r="S249" s="82">
        <f t="shared" si="24"/>
        <v>0</v>
      </c>
      <c r="T249" s="82">
        <f t="shared" si="25"/>
        <v>-466.66666666665697</v>
      </c>
      <c r="U249" s="82">
        <f t="shared" si="26"/>
        <v>0</v>
      </c>
      <c r="V249" s="83">
        <f>IF(COUNTIFS(Roster!$B$5:$B$1504,$A249,Roster!$G$5:$G$1504,"&gt;0")=0,0,SUMIFS(Roster!$H$5:$H$1504,Roster!$B$5:$B$1504,$A249,Roster!$G$5:$G$1504,_xlfn.MAXIFS(Roster!$G$5:$G$1504,Roster!$B$5:$B$1504,$A249)))</f>
        <v>0</v>
      </c>
      <c r="W249" s="101" t="str">
        <f t="shared" si="27"/>
        <v>Filled</v>
      </c>
    </row>
    <row r="250" spans="1:23" x14ac:dyDescent="0.25">
      <c r="A250" s="76" t="s">
        <v>667</v>
      </c>
      <c r="B250" s="76" t="s">
        <v>356</v>
      </c>
      <c r="C250" s="76" t="s">
        <v>654</v>
      </c>
      <c r="D250" s="97">
        <v>1</v>
      </c>
      <c r="E250" s="98" t="s">
        <v>325</v>
      </c>
      <c r="F250" s="78">
        <v>67000</v>
      </c>
      <c r="G250" s="97">
        <v>1</v>
      </c>
      <c r="H250" s="98" t="s">
        <v>399</v>
      </c>
      <c r="J250" s="99">
        <f>1+Assumptions!$B$11+INDEX(Assumptions!$B$12:$B$15,D250)*Assumptions!$B$16</f>
        <v>1.3</v>
      </c>
      <c r="K250" s="82">
        <f t="shared" si="21"/>
        <v>87100</v>
      </c>
      <c r="L250" s="100">
        <f>IF(E250="Yes",MAX(0,Assumptions!$B$8-G250+1),0)</f>
        <v>8</v>
      </c>
      <c r="M250" s="82">
        <f t="shared" si="22"/>
        <v>58066.666666666664</v>
      </c>
      <c r="N250" s="100">
        <f>MIN(1,SUMIFS(Roster!$N$5:$N$1504,Roster!$B$5:$B$1504,$A250))</f>
        <v>1</v>
      </c>
      <c r="O250" s="100">
        <f>SUMIFS(Roster!$L$5:$L$1504,Roster!$B$5:$B$1504,$A250)</f>
        <v>8</v>
      </c>
      <c r="P250" s="83">
        <f>SUMIFS(Roster!$M$5:$M$1504,Roster!$B$5:$B$1504,$A250)*J250</f>
        <v>57720</v>
      </c>
      <c r="Q250" s="83">
        <f>SUMIFS(Roster!$O$5:$O$1504,Roster!$B$5:$B$1504,$A250)*J250</f>
        <v>86580</v>
      </c>
      <c r="R250" s="82">
        <f t="shared" si="23"/>
        <v>86580</v>
      </c>
      <c r="S250" s="82">
        <f t="shared" si="24"/>
        <v>0</v>
      </c>
      <c r="T250" s="82">
        <f t="shared" si="25"/>
        <v>346.66666666666424</v>
      </c>
      <c r="U250" s="82">
        <f t="shared" si="26"/>
        <v>0</v>
      </c>
      <c r="V250" s="83">
        <f>IF(COUNTIFS(Roster!$B$5:$B$1504,$A250,Roster!$G$5:$G$1504,"&gt;0")=0,0,SUMIFS(Roster!$H$5:$H$1504,Roster!$B$5:$B$1504,$A250,Roster!$G$5:$G$1504,_xlfn.MAXIFS(Roster!$G$5:$G$1504,Roster!$B$5:$B$1504,$A250)))</f>
        <v>0</v>
      </c>
      <c r="W250" s="101" t="str">
        <f t="shared" si="27"/>
        <v>Filled</v>
      </c>
    </row>
    <row r="251" spans="1:23" x14ac:dyDescent="0.25">
      <c r="A251" s="76" t="s">
        <v>668</v>
      </c>
      <c r="B251" s="76" t="s">
        <v>356</v>
      </c>
      <c r="C251" s="76" t="s">
        <v>654</v>
      </c>
      <c r="D251" s="97">
        <v>1</v>
      </c>
      <c r="E251" s="98" t="s">
        <v>325</v>
      </c>
      <c r="F251" s="78">
        <v>56500</v>
      </c>
      <c r="G251" s="97">
        <v>1</v>
      </c>
      <c r="H251" s="98" t="s">
        <v>399</v>
      </c>
      <c r="J251" s="99">
        <f>1+Assumptions!$B$11+INDEX(Assumptions!$B$12:$B$15,D251)*Assumptions!$B$16</f>
        <v>1.3</v>
      </c>
      <c r="K251" s="82">
        <f t="shared" si="21"/>
        <v>73450</v>
      </c>
      <c r="L251" s="100">
        <f>IF(E251="Yes",MAX(0,Assumptions!$B$8-G251+1),0)</f>
        <v>8</v>
      </c>
      <c r="M251" s="82">
        <f t="shared" si="22"/>
        <v>48966.666666666664</v>
      </c>
      <c r="N251" s="100">
        <f>MIN(1,SUMIFS(Roster!$N$5:$N$1504,Roster!$B$5:$B$1504,$A251))</f>
        <v>1</v>
      </c>
      <c r="O251" s="100">
        <f>SUMIFS(Roster!$L$5:$L$1504,Roster!$B$5:$B$1504,$A251)</f>
        <v>8</v>
      </c>
      <c r="P251" s="83">
        <f>SUMIFS(Roster!$M$5:$M$1504,Roster!$B$5:$B$1504,$A251)*J251</f>
        <v>48620</v>
      </c>
      <c r="Q251" s="83">
        <f>SUMIFS(Roster!$O$5:$O$1504,Roster!$B$5:$B$1504,$A251)*J251</f>
        <v>72930</v>
      </c>
      <c r="R251" s="82">
        <f t="shared" si="23"/>
        <v>72930</v>
      </c>
      <c r="S251" s="82">
        <f t="shared" si="24"/>
        <v>0</v>
      </c>
      <c r="T251" s="82">
        <f t="shared" si="25"/>
        <v>346.66666666666424</v>
      </c>
      <c r="U251" s="82">
        <f t="shared" si="26"/>
        <v>0</v>
      </c>
      <c r="V251" s="83">
        <f>IF(COUNTIFS(Roster!$B$5:$B$1504,$A251,Roster!$G$5:$G$1504,"&gt;0")=0,0,SUMIFS(Roster!$H$5:$H$1504,Roster!$B$5:$B$1504,$A251,Roster!$G$5:$G$1504,_xlfn.MAXIFS(Roster!$G$5:$G$1504,Roster!$B$5:$B$1504,$A251)))</f>
        <v>0</v>
      </c>
      <c r="W251" s="101" t="str">
        <f t="shared" si="27"/>
        <v>Filled</v>
      </c>
    </row>
    <row r="252" spans="1:23" x14ac:dyDescent="0.25">
      <c r="A252" s="76" t="s">
        <v>669</v>
      </c>
      <c r="B252" s="76" t="s">
        <v>356</v>
      </c>
      <c r="C252" s="76" t="s">
        <v>651</v>
      </c>
      <c r="D252" s="97">
        <v>2</v>
      </c>
      <c r="E252" s="98" t="s">
        <v>325</v>
      </c>
      <c r="F252" s="78">
        <v>80500</v>
      </c>
      <c r="G252" s="97">
        <v>1</v>
      </c>
      <c r="H252" s="98" t="s">
        <v>399</v>
      </c>
      <c r="J252" s="99">
        <f>1+Assumptions!$B$11+INDEX(Assumptions!$B$12:$B$15,D252)*Assumptions!$B$16</f>
        <v>1.35</v>
      </c>
      <c r="K252" s="82">
        <f t="shared" si="21"/>
        <v>108675</v>
      </c>
      <c r="L252" s="100">
        <f>IF(E252="Yes",MAX(0,Assumptions!$B$8-G252+1),0)</f>
        <v>8</v>
      </c>
      <c r="M252" s="82">
        <f t="shared" si="22"/>
        <v>72450</v>
      </c>
      <c r="N252" s="100">
        <f>MIN(1,SUMIFS(Roster!$N$5:$N$1504,Roster!$B$5:$B$1504,$A252))</f>
        <v>1</v>
      </c>
      <c r="O252" s="100">
        <f>SUMIFS(Roster!$L$5:$L$1504,Roster!$B$5:$B$1504,$A252)</f>
        <v>8</v>
      </c>
      <c r="P252" s="83">
        <f>SUMIFS(Roster!$M$5:$M$1504,Roster!$B$5:$B$1504,$A252)*J252</f>
        <v>71730.000000000015</v>
      </c>
      <c r="Q252" s="83">
        <f>SUMIFS(Roster!$O$5:$O$1504,Roster!$B$5:$B$1504,$A252)*J252</f>
        <v>107595</v>
      </c>
      <c r="R252" s="82">
        <f t="shared" si="23"/>
        <v>107595</v>
      </c>
      <c r="S252" s="82">
        <f t="shared" si="24"/>
        <v>0</v>
      </c>
      <c r="T252" s="82">
        <f t="shared" si="25"/>
        <v>719.99999999998545</v>
      </c>
      <c r="U252" s="82">
        <f t="shared" si="26"/>
        <v>0</v>
      </c>
      <c r="V252" s="83">
        <f>IF(COUNTIFS(Roster!$B$5:$B$1504,$A252,Roster!$G$5:$G$1504,"&gt;0")=0,0,SUMIFS(Roster!$H$5:$H$1504,Roster!$B$5:$B$1504,$A252,Roster!$G$5:$G$1504,_xlfn.MAXIFS(Roster!$G$5:$G$1504,Roster!$B$5:$B$1504,$A252)))</f>
        <v>0</v>
      </c>
      <c r="W252" s="101" t="str">
        <f t="shared" si="27"/>
        <v>Filled</v>
      </c>
    </row>
    <row r="253" spans="1:23" x14ac:dyDescent="0.25">
      <c r="A253" s="76" t="s">
        <v>670</v>
      </c>
      <c r="B253" s="76" t="s">
        <v>356</v>
      </c>
      <c r="C253" s="76" t="s">
        <v>654</v>
      </c>
      <c r="D253" s="97">
        <v>1</v>
      </c>
      <c r="E253" s="98" t="s">
        <v>325</v>
      </c>
      <c r="F253" s="78">
        <v>69500</v>
      </c>
      <c r="G253" s="97">
        <v>1</v>
      </c>
      <c r="H253" s="98" t="s">
        <v>399</v>
      </c>
      <c r="J253" s="99">
        <f>1+Assumptions!$B$11+INDEX(Assumptions!$B$12:$B$15,D253)*Assumptions!$B$16</f>
        <v>1.3</v>
      </c>
      <c r="K253" s="82">
        <f t="shared" si="21"/>
        <v>90350</v>
      </c>
      <c r="L253" s="100">
        <f>IF(E253="Yes",MAX(0,Assumptions!$B$8-G253+1),0)</f>
        <v>8</v>
      </c>
      <c r="M253" s="82">
        <f t="shared" si="22"/>
        <v>60233.333333333336</v>
      </c>
      <c r="N253" s="100">
        <f>MIN(1,SUMIFS(Roster!$N$5:$N$1504,Roster!$B$5:$B$1504,$A253))</f>
        <v>1</v>
      </c>
      <c r="O253" s="100">
        <f>SUMIFS(Roster!$L$5:$L$1504,Roster!$B$5:$B$1504,$A253)</f>
        <v>8</v>
      </c>
      <c r="P253" s="83">
        <f>SUMIFS(Roster!$M$5:$M$1504,Roster!$B$5:$B$1504,$A253)*J253</f>
        <v>59366.666666666664</v>
      </c>
      <c r="Q253" s="83">
        <f>SUMIFS(Roster!$O$5:$O$1504,Roster!$B$5:$B$1504,$A253)*J253</f>
        <v>89050</v>
      </c>
      <c r="R253" s="82">
        <f t="shared" si="23"/>
        <v>89050</v>
      </c>
      <c r="S253" s="82">
        <f t="shared" si="24"/>
        <v>0</v>
      </c>
      <c r="T253" s="82">
        <f t="shared" si="25"/>
        <v>866.66666666667152</v>
      </c>
      <c r="U253" s="82">
        <f t="shared" si="26"/>
        <v>0</v>
      </c>
      <c r="V253" s="83">
        <f>IF(COUNTIFS(Roster!$B$5:$B$1504,$A253,Roster!$G$5:$G$1504,"&gt;0")=0,0,SUMIFS(Roster!$H$5:$H$1504,Roster!$B$5:$B$1504,$A253,Roster!$G$5:$G$1504,_xlfn.MAXIFS(Roster!$G$5:$G$1504,Roster!$B$5:$B$1504,$A253)))</f>
        <v>0</v>
      </c>
      <c r="W253" s="101" t="str">
        <f t="shared" si="27"/>
        <v>Filled</v>
      </c>
    </row>
    <row r="254" spans="1:23" x14ac:dyDescent="0.25">
      <c r="A254" s="76" t="s">
        <v>671</v>
      </c>
      <c r="B254" s="76" t="s">
        <v>356</v>
      </c>
      <c r="C254" s="76" t="s">
        <v>665</v>
      </c>
      <c r="D254" s="97">
        <v>3</v>
      </c>
      <c r="E254" s="98" t="s">
        <v>325</v>
      </c>
      <c r="F254" s="78">
        <v>112000</v>
      </c>
      <c r="G254" s="97">
        <v>1</v>
      </c>
      <c r="H254" s="98" t="s">
        <v>399</v>
      </c>
      <c r="J254" s="99">
        <f>1+Assumptions!$B$11+INDEX(Assumptions!$B$12:$B$15,D254)*Assumptions!$B$16</f>
        <v>1.4</v>
      </c>
      <c r="K254" s="82">
        <f t="shared" si="21"/>
        <v>156800</v>
      </c>
      <c r="L254" s="100">
        <f>IF(E254="Yes",MAX(0,Assumptions!$B$8-G254+1),0)</f>
        <v>8</v>
      </c>
      <c r="M254" s="82">
        <f t="shared" si="22"/>
        <v>104533.33333333333</v>
      </c>
      <c r="N254" s="100">
        <f>MIN(1,SUMIFS(Roster!$N$5:$N$1504,Roster!$B$5:$B$1504,$A254))</f>
        <v>1</v>
      </c>
      <c r="O254" s="100">
        <f>SUMIFS(Roster!$L$5:$L$1504,Roster!$B$5:$B$1504,$A254)</f>
        <v>8</v>
      </c>
      <c r="P254" s="83">
        <f>SUMIFS(Roster!$M$5:$M$1504,Roster!$B$5:$B$1504,$A254)*J254</f>
        <v>105933.33333333333</v>
      </c>
      <c r="Q254" s="83">
        <f>SUMIFS(Roster!$O$5:$O$1504,Roster!$B$5:$B$1504,$A254)*J254</f>
        <v>158900</v>
      </c>
      <c r="R254" s="82">
        <f t="shared" si="23"/>
        <v>158900</v>
      </c>
      <c r="S254" s="82">
        <f t="shared" si="24"/>
        <v>0</v>
      </c>
      <c r="T254" s="82">
        <f t="shared" si="25"/>
        <v>-1400</v>
      </c>
      <c r="U254" s="82">
        <f t="shared" si="26"/>
        <v>0</v>
      </c>
      <c r="V254" s="83">
        <f>IF(COUNTIFS(Roster!$B$5:$B$1504,$A254,Roster!$G$5:$G$1504,"&gt;0")=0,0,SUMIFS(Roster!$H$5:$H$1504,Roster!$B$5:$B$1504,$A254,Roster!$G$5:$G$1504,_xlfn.MAXIFS(Roster!$G$5:$G$1504,Roster!$B$5:$B$1504,$A254)))</f>
        <v>0</v>
      </c>
      <c r="W254" s="101" t="str">
        <f t="shared" si="27"/>
        <v>Filled</v>
      </c>
    </row>
    <row r="255" spans="1:23" x14ac:dyDescent="0.25">
      <c r="A255" s="76" t="s">
        <v>672</v>
      </c>
      <c r="B255" s="76" t="s">
        <v>356</v>
      </c>
      <c r="C255" s="76" t="s">
        <v>656</v>
      </c>
      <c r="D255" s="97">
        <v>2</v>
      </c>
      <c r="E255" s="98" t="s">
        <v>325</v>
      </c>
      <c r="F255" s="78">
        <v>87500</v>
      </c>
      <c r="G255" s="97">
        <v>1</v>
      </c>
      <c r="H255" s="98" t="s">
        <v>399</v>
      </c>
      <c r="J255" s="99">
        <f>1+Assumptions!$B$11+INDEX(Assumptions!$B$12:$B$15,D255)*Assumptions!$B$16</f>
        <v>1.35</v>
      </c>
      <c r="K255" s="82">
        <f t="shared" si="21"/>
        <v>118125.00000000001</v>
      </c>
      <c r="L255" s="100">
        <f>IF(E255="Yes",MAX(0,Assumptions!$B$8-G255+1),0)</f>
        <v>8</v>
      </c>
      <c r="M255" s="82">
        <f t="shared" si="22"/>
        <v>78750.000000000015</v>
      </c>
      <c r="N255" s="100">
        <f>MIN(1,SUMIFS(Roster!$N$5:$N$1504,Roster!$B$5:$B$1504,$A255))</f>
        <v>1</v>
      </c>
      <c r="O255" s="100">
        <f>SUMIFS(Roster!$L$5:$L$1504,Roster!$B$5:$B$1504,$A255)</f>
        <v>8</v>
      </c>
      <c r="P255" s="83">
        <f>SUMIFS(Roster!$M$5:$M$1504,Roster!$B$5:$B$1504,$A255)*J255</f>
        <v>79020.000000000015</v>
      </c>
      <c r="Q255" s="83">
        <f>SUMIFS(Roster!$O$5:$O$1504,Roster!$B$5:$B$1504,$A255)*J255</f>
        <v>118530.00000000001</v>
      </c>
      <c r="R255" s="82">
        <f t="shared" si="23"/>
        <v>118530.00000000001</v>
      </c>
      <c r="S255" s="82">
        <f t="shared" si="24"/>
        <v>0</v>
      </c>
      <c r="T255" s="82">
        <f t="shared" si="25"/>
        <v>-270</v>
      </c>
      <c r="U255" s="82">
        <f t="shared" si="26"/>
        <v>0</v>
      </c>
      <c r="V255" s="83">
        <f>IF(COUNTIFS(Roster!$B$5:$B$1504,$A255,Roster!$G$5:$G$1504,"&gt;0")=0,0,SUMIFS(Roster!$H$5:$H$1504,Roster!$B$5:$B$1504,$A255,Roster!$G$5:$G$1504,_xlfn.MAXIFS(Roster!$G$5:$G$1504,Roster!$B$5:$B$1504,$A255)))</f>
        <v>0</v>
      </c>
      <c r="W255" s="101" t="str">
        <f t="shared" si="27"/>
        <v>Filled</v>
      </c>
    </row>
    <row r="256" spans="1:23" x14ac:dyDescent="0.25">
      <c r="A256" s="76" t="s">
        <v>673</v>
      </c>
      <c r="B256" s="76" t="s">
        <v>356</v>
      </c>
      <c r="C256" s="76" t="s">
        <v>665</v>
      </c>
      <c r="D256" s="97">
        <v>3</v>
      </c>
      <c r="E256" s="98" t="s">
        <v>325</v>
      </c>
      <c r="F256" s="78">
        <v>130500</v>
      </c>
      <c r="G256" s="97">
        <v>1</v>
      </c>
      <c r="H256" s="98" t="s">
        <v>399</v>
      </c>
      <c r="J256" s="99">
        <f>1+Assumptions!$B$11+INDEX(Assumptions!$B$12:$B$15,D256)*Assumptions!$B$16</f>
        <v>1.4</v>
      </c>
      <c r="K256" s="82">
        <f t="shared" si="21"/>
        <v>182700</v>
      </c>
      <c r="L256" s="100">
        <f>IF(E256="Yes",MAX(0,Assumptions!$B$8-G256+1),0)</f>
        <v>8</v>
      </c>
      <c r="M256" s="82">
        <f t="shared" si="22"/>
        <v>121800</v>
      </c>
      <c r="N256" s="100">
        <f>MIN(1,SUMIFS(Roster!$N$5:$N$1504,Roster!$B$5:$B$1504,$A256))</f>
        <v>1</v>
      </c>
      <c r="O256" s="100">
        <f>SUMIFS(Roster!$L$5:$L$1504,Roster!$B$5:$B$1504,$A256)</f>
        <v>8</v>
      </c>
      <c r="P256" s="83">
        <f>SUMIFS(Roster!$M$5:$M$1504,Roster!$B$5:$B$1504,$A256)*J256</f>
        <v>122359.99999999999</v>
      </c>
      <c r="Q256" s="83">
        <f>SUMIFS(Roster!$O$5:$O$1504,Roster!$B$5:$B$1504,$A256)*J256</f>
        <v>183540</v>
      </c>
      <c r="R256" s="82">
        <f t="shared" si="23"/>
        <v>183540</v>
      </c>
      <c r="S256" s="82">
        <f t="shared" si="24"/>
        <v>0</v>
      </c>
      <c r="T256" s="82">
        <f t="shared" si="25"/>
        <v>-559.99999999998545</v>
      </c>
      <c r="U256" s="82">
        <f t="shared" si="26"/>
        <v>0</v>
      </c>
      <c r="V256" s="83">
        <f>IF(COUNTIFS(Roster!$B$5:$B$1504,$A256,Roster!$G$5:$G$1504,"&gt;0")=0,0,SUMIFS(Roster!$H$5:$H$1504,Roster!$B$5:$B$1504,$A256,Roster!$G$5:$G$1504,_xlfn.MAXIFS(Roster!$G$5:$G$1504,Roster!$B$5:$B$1504,$A256)))</f>
        <v>0</v>
      </c>
      <c r="W256" s="101" t="str">
        <f t="shared" si="27"/>
        <v>Filled</v>
      </c>
    </row>
    <row r="257" spans="1:23" x14ac:dyDescent="0.25">
      <c r="A257" s="76" t="s">
        <v>674</v>
      </c>
      <c r="B257" s="76" t="s">
        <v>356</v>
      </c>
      <c r="C257" s="76" t="s">
        <v>654</v>
      </c>
      <c r="D257" s="97">
        <v>1</v>
      </c>
      <c r="E257" s="98" t="s">
        <v>325</v>
      </c>
      <c r="F257" s="78">
        <v>66500</v>
      </c>
      <c r="G257" s="97">
        <v>1</v>
      </c>
      <c r="H257" s="98" t="s">
        <v>399</v>
      </c>
      <c r="J257" s="99">
        <f>1+Assumptions!$B$11+INDEX(Assumptions!$B$12:$B$15,D257)*Assumptions!$B$16</f>
        <v>1.3</v>
      </c>
      <c r="K257" s="82">
        <f t="shared" si="21"/>
        <v>86450</v>
      </c>
      <c r="L257" s="100">
        <f>IF(E257="Yes",MAX(0,Assumptions!$B$8-G257+1),0)</f>
        <v>8</v>
      </c>
      <c r="M257" s="82">
        <f t="shared" si="22"/>
        <v>57633.333333333336</v>
      </c>
      <c r="N257" s="100">
        <f>MIN(1,SUMIFS(Roster!$N$5:$N$1504,Roster!$B$5:$B$1504,$A257))</f>
        <v>1</v>
      </c>
      <c r="O257" s="100">
        <f>SUMIFS(Roster!$L$5:$L$1504,Roster!$B$5:$B$1504,$A257)</f>
        <v>8</v>
      </c>
      <c r="P257" s="83">
        <f>SUMIFS(Roster!$M$5:$M$1504,Roster!$B$5:$B$1504,$A257)*J257</f>
        <v>59106.666666666672</v>
      </c>
      <c r="Q257" s="83">
        <f>SUMIFS(Roster!$O$5:$O$1504,Roster!$B$5:$B$1504,$A257)*J257</f>
        <v>91650</v>
      </c>
      <c r="R257" s="82">
        <f t="shared" si="23"/>
        <v>91650</v>
      </c>
      <c r="S257" s="82">
        <f t="shared" si="24"/>
        <v>0</v>
      </c>
      <c r="T257" s="82">
        <f t="shared" si="25"/>
        <v>-1473.3333333333358</v>
      </c>
      <c r="U257" s="82">
        <f t="shared" si="26"/>
        <v>0</v>
      </c>
      <c r="V257" s="83">
        <f>IF(COUNTIFS(Roster!$B$5:$B$1504,$A257,Roster!$G$5:$G$1504,"&gt;0")=0,0,SUMIFS(Roster!$H$5:$H$1504,Roster!$B$5:$B$1504,$A257,Roster!$G$5:$G$1504,_xlfn.MAXIFS(Roster!$G$5:$G$1504,Roster!$B$5:$B$1504,$A257)))</f>
        <v>65900</v>
      </c>
      <c r="W257" s="101" t="str">
        <f t="shared" si="27"/>
        <v>Filled</v>
      </c>
    </row>
    <row r="258" spans="1:23" x14ac:dyDescent="0.25">
      <c r="A258" s="76" t="s">
        <v>675</v>
      </c>
      <c r="B258" s="76" t="s">
        <v>356</v>
      </c>
      <c r="C258" s="76" t="s">
        <v>651</v>
      </c>
      <c r="D258" s="97">
        <v>2</v>
      </c>
      <c r="E258" s="98" t="s">
        <v>325</v>
      </c>
      <c r="F258" s="78">
        <v>87000</v>
      </c>
      <c r="G258" s="97">
        <v>1</v>
      </c>
      <c r="H258" s="98" t="s">
        <v>399</v>
      </c>
      <c r="J258" s="99">
        <f>1+Assumptions!$B$11+INDEX(Assumptions!$B$12:$B$15,D258)*Assumptions!$B$16</f>
        <v>1.35</v>
      </c>
      <c r="K258" s="82">
        <f t="shared" si="21"/>
        <v>117450.00000000001</v>
      </c>
      <c r="L258" s="100">
        <f>IF(E258="Yes",MAX(0,Assumptions!$B$8-G258+1),0)</f>
        <v>8</v>
      </c>
      <c r="M258" s="82">
        <f t="shared" si="22"/>
        <v>78300.000000000015</v>
      </c>
      <c r="N258" s="100">
        <f>MIN(1,SUMIFS(Roster!$N$5:$N$1504,Roster!$B$5:$B$1504,$A258))</f>
        <v>1</v>
      </c>
      <c r="O258" s="100">
        <f>SUMIFS(Roster!$L$5:$L$1504,Roster!$B$5:$B$1504,$A258)</f>
        <v>8</v>
      </c>
      <c r="P258" s="83">
        <f>SUMIFS(Roster!$M$5:$M$1504,Roster!$B$5:$B$1504,$A258)*J258</f>
        <v>79470</v>
      </c>
      <c r="Q258" s="83">
        <f>SUMIFS(Roster!$O$5:$O$1504,Roster!$B$5:$B$1504,$A258)*J258</f>
        <v>119205.00000000001</v>
      </c>
      <c r="R258" s="82">
        <f t="shared" si="23"/>
        <v>119205.00000000001</v>
      </c>
      <c r="S258" s="82">
        <f t="shared" si="24"/>
        <v>0</v>
      </c>
      <c r="T258" s="82">
        <f t="shared" si="25"/>
        <v>-1169.9999999999854</v>
      </c>
      <c r="U258" s="82">
        <f t="shared" si="26"/>
        <v>0</v>
      </c>
      <c r="V258" s="83">
        <f>IF(COUNTIFS(Roster!$B$5:$B$1504,$A258,Roster!$G$5:$G$1504,"&gt;0")=0,0,SUMIFS(Roster!$H$5:$H$1504,Roster!$B$5:$B$1504,$A258,Roster!$G$5:$G$1504,_xlfn.MAXIFS(Roster!$G$5:$G$1504,Roster!$B$5:$B$1504,$A258)))</f>
        <v>0</v>
      </c>
      <c r="W258" s="101" t="str">
        <f t="shared" si="27"/>
        <v>Filled</v>
      </c>
    </row>
    <row r="259" spans="1:23" x14ac:dyDescent="0.25">
      <c r="A259" s="76" t="s">
        <v>676</v>
      </c>
      <c r="B259" s="76" t="s">
        <v>356</v>
      </c>
      <c r="C259" s="76" t="s">
        <v>665</v>
      </c>
      <c r="D259" s="97">
        <v>3</v>
      </c>
      <c r="E259" s="98" t="s">
        <v>325</v>
      </c>
      <c r="F259" s="78">
        <v>111000</v>
      </c>
      <c r="G259" s="97">
        <v>1</v>
      </c>
      <c r="H259" s="98" t="s">
        <v>399</v>
      </c>
      <c r="J259" s="99">
        <f>1+Assumptions!$B$11+INDEX(Assumptions!$B$12:$B$15,D259)*Assumptions!$B$16</f>
        <v>1.4</v>
      </c>
      <c r="K259" s="82">
        <f t="shared" si="21"/>
        <v>155400</v>
      </c>
      <c r="L259" s="100">
        <f>IF(E259="Yes",MAX(0,Assumptions!$B$8-G259+1),0)</f>
        <v>8</v>
      </c>
      <c r="M259" s="82">
        <f t="shared" si="22"/>
        <v>103600</v>
      </c>
      <c r="N259" s="100">
        <f>MIN(1,SUMIFS(Roster!$N$5:$N$1504,Roster!$B$5:$B$1504,$A259))</f>
        <v>1</v>
      </c>
      <c r="O259" s="100">
        <f>SUMIFS(Roster!$L$5:$L$1504,Roster!$B$5:$B$1504,$A259)</f>
        <v>8</v>
      </c>
      <c r="P259" s="83">
        <f>SUMIFS(Roster!$M$5:$M$1504,Roster!$B$5:$B$1504,$A259)*J259</f>
        <v>102106.66666666666</v>
      </c>
      <c r="Q259" s="83">
        <f>SUMIFS(Roster!$O$5:$O$1504,Roster!$B$5:$B$1504,$A259)*J259</f>
        <v>153160</v>
      </c>
      <c r="R259" s="82">
        <f t="shared" si="23"/>
        <v>153160</v>
      </c>
      <c r="S259" s="82">
        <f t="shared" si="24"/>
        <v>0</v>
      </c>
      <c r="T259" s="82">
        <f t="shared" si="25"/>
        <v>1493.333333333343</v>
      </c>
      <c r="U259" s="82">
        <f t="shared" si="26"/>
        <v>0</v>
      </c>
      <c r="V259" s="83">
        <f>IF(COUNTIFS(Roster!$B$5:$B$1504,$A259,Roster!$G$5:$G$1504,"&gt;0")=0,0,SUMIFS(Roster!$H$5:$H$1504,Roster!$B$5:$B$1504,$A259,Roster!$G$5:$G$1504,_xlfn.MAXIFS(Roster!$G$5:$G$1504,Roster!$B$5:$B$1504,$A259)))</f>
        <v>0</v>
      </c>
      <c r="W259" s="101" t="str">
        <f t="shared" si="27"/>
        <v>Filled</v>
      </c>
    </row>
    <row r="260" spans="1:23" x14ac:dyDescent="0.25">
      <c r="A260" s="76" t="s">
        <v>677</v>
      </c>
      <c r="B260" s="76" t="s">
        <v>356</v>
      </c>
      <c r="C260" s="76" t="s">
        <v>665</v>
      </c>
      <c r="D260" s="97">
        <v>3</v>
      </c>
      <c r="E260" s="98" t="s">
        <v>325</v>
      </c>
      <c r="F260" s="78">
        <v>113500</v>
      </c>
      <c r="G260" s="97">
        <v>1</v>
      </c>
      <c r="H260" s="98" t="s">
        <v>399</v>
      </c>
      <c r="J260" s="99">
        <f>1+Assumptions!$B$11+INDEX(Assumptions!$B$12:$B$15,D260)*Assumptions!$B$16</f>
        <v>1.4</v>
      </c>
      <c r="K260" s="82">
        <f t="shared" si="21"/>
        <v>158900</v>
      </c>
      <c r="L260" s="100">
        <f>IF(E260="Yes",MAX(0,Assumptions!$B$8-G260+1),0)</f>
        <v>8</v>
      </c>
      <c r="M260" s="82">
        <f t="shared" si="22"/>
        <v>105933.33333333333</v>
      </c>
      <c r="N260" s="100">
        <f>MIN(1,SUMIFS(Roster!$N$5:$N$1504,Roster!$B$5:$B$1504,$A260))</f>
        <v>1</v>
      </c>
      <c r="O260" s="100">
        <f>SUMIFS(Roster!$L$5:$L$1504,Roster!$B$5:$B$1504,$A260)</f>
        <v>8</v>
      </c>
      <c r="P260" s="83">
        <f>SUMIFS(Roster!$M$5:$M$1504,Roster!$B$5:$B$1504,$A260)*J260</f>
        <v>107333.33333333333</v>
      </c>
      <c r="Q260" s="83">
        <f>SUMIFS(Roster!$O$5:$O$1504,Roster!$B$5:$B$1504,$A260)*J260</f>
        <v>161000</v>
      </c>
      <c r="R260" s="82">
        <f t="shared" si="23"/>
        <v>161000</v>
      </c>
      <c r="S260" s="82">
        <f t="shared" si="24"/>
        <v>0</v>
      </c>
      <c r="T260" s="82">
        <f t="shared" si="25"/>
        <v>-1400</v>
      </c>
      <c r="U260" s="82">
        <f t="shared" si="26"/>
        <v>0</v>
      </c>
      <c r="V260" s="83">
        <f>IF(COUNTIFS(Roster!$B$5:$B$1504,$A260,Roster!$G$5:$G$1504,"&gt;0")=0,0,SUMIFS(Roster!$H$5:$H$1504,Roster!$B$5:$B$1504,$A260,Roster!$G$5:$G$1504,_xlfn.MAXIFS(Roster!$G$5:$G$1504,Roster!$B$5:$B$1504,$A260)))</f>
        <v>0</v>
      </c>
      <c r="W260" s="101" t="str">
        <f t="shared" si="27"/>
        <v>Filled</v>
      </c>
    </row>
    <row r="261" spans="1:23" x14ac:dyDescent="0.25">
      <c r="A261" s="76" t="s">
        <v>678</v>
      </c>
      <c r="B261" s="76" t="s">
        <v>356</v>
      </c>
      <c r="C261" s="76" t="s">
        <v>656</v>
      </c>
      <c r="D261" s="97">
        <v>2</v>
      </c>
      <c r="E261" s="98" t="s">
        <v>325</v>
      </c>
      <c r="F261" s="78">
        <v>86500</v>
      </c>
      <c r="G261" s="97">
        <v>1</v>
      </c>
      <c r="H261" s="98" t="s">
        <v>399</v>
      </c>
      <c r="J261" s="99">
        <f>1+Assumptions!$B$11+INDEX(Assumptions!$B$12:$B$15,D261)*Assumptions!$B$16</f>
        <v>1.35</v>
      </c>
      <c r="K261" s="82">
        <f t="shared" ref="K261:K324" si="28">IF(E261="Yes",F261*J261,0)</f>
        <v>116775.00000000001</v>
      </c>
      <c r="L261" s="100">
        <f>IF(E261="Yes",MAX(0,Assumptions!$B$8-G261+1),0)</f>
        <v>8</v>
      </c>
      <c r="M261" s="82">
        <f t="shared" ref="M261:M324" si="29">K261/12*L261</f>
        <v>77850.000000000015</v>
      </c>
      <c r="N261" s="100">
        <f>MIN(1,SUMIFS(Roster!$N$5:$N$1504,Roster!$B$5:$B$1504,$A261))</f>
        <v>1</v>
      </c>
      <c r="O261" s="100">
        <f>SUMIFS(Roster!$L$5:$L$1504,Roster!$B$5:$B$1504,$A261)</f>
        <v>8</v>
      </c>
      <c r="P261" s="83">
        <f>SUMIFS(Roster!$M$5:$M$1504,Roster!$B$5:$B$1504,$A261)*J261</f>
        <v>78480.000000000015</v>
      </c>
      <c r="Q261" s="83">
        <f>SUMIFS(Roster!$O$5:$O$1504,Roster!$B$5:$B$1504,$A261)*J261</f>
        <v>117720.00000000001</v>
      </c>
      <c r="R261" s="82">
        <f t="shared" ref="R261:R324" si="30">IF(N261=1,Q261,IF(AND(E261="Yes",H261="Fill"),K261,0))</f>
        <v>117720.00000000001</v>
      </c>
      <c r="S261" s="82">
        <f t="shared" ref="S261:S324" si="31">(L261-O261)*K261/12</f>
        <v>0</v>
      </c>
      <c r="T261" s="82">
        <f t="shared" ref="T261:T324" si="32">IF(E261="Yes",O261*K261/12-P261,0)</f>
        <v>-630</v>
      </c>
      <c r="U261" s="82">
        <f t="shared" ref="U261:U324" si="33">IF(E261="No",-P261,0)</f>
        <v>0</v>
      </c>
      <c r="V261" s="83">
        <f>IF(COUNTIFS(Roster!$B$5:$B$1504,$A261,Roster!$G$5:$G$1504,"&gt;0")=0,0,SUMIFS(Roster!$H$5:$H$1504,Roster!$B$5:$B$1504,$A261,Roster!$G$5:$G$1504,_xlfn.MAXIFS(Roster!$G$5:$G$1504,Roster!$B$5:$B$1504,$A261)))</f>
        <v>0</v>
      </c>
      <c r="W261" s="101" t="str">
        <f t="shared" ref="W261:W324" si="34">IF(N261=1,IF(E261="Yes","Filled","Unbudgeted hire"),IF(E261="Yes",IF(H261="Hold","Open: on hold","Open: to fill"),"Unbudgeted (left)"))</f>
        <v>Filled</v>
      </c>
    </row>
    <row r="262" spans="1:23" x14ac:dyDescent="0.25">
      <c r="A262" s="76" t="s">
        <v>679</v>
      </c>
      <c r="B262" s="76" t="s">
        <v>356</v>
      </c>
      <c r="C262" s="76" t="s">
        <v>651</v>
      </c>
      <c r="D262" s="97">
        <v>2</v>
      </c>
      <c r="E262" s="98" t="s">
        <v>325</v>
      </c>
      <c r="F262" s="78">
        <v>75000</v>
      </c>
      <c r="G262" s="97">
        <v>1</v>
      </c>
      <c r="H262" s="98" t="s">
        <v>399</v>
      </c>
      <c r="J262" s="99">
        <f>1+Assumptions!$B$11+INDEX(Assumptions!$B$12:$B$15,D262)*Assumptions!$B$16</f>
        <v>1.35</v>
      </c>
      <c r="K262" s="82">
        <f t="shared" si="28"/>
        <v>101250</v>
      </c>
      <c r="L262" s="100">
        <f>IF(E262="Yes",MAX(0,Assumptions!$B$8-G262+1),0)</f>
        <v>8</v>
      </c>
      <c r="M262" s="82">
        <f t="shared" si="29"/>
        <v>67500</v>
      </c>
      <c r="N262" s="100">
        <f>MIN(1,SUMIFS(Roster!$N$5:$N$1504,Roster!$B$5:$B$1504,$A262))</f>
        <v>1</v>
      </c>
      <c r="O262" s="100">
        <f>SUMIFS(Roster!$L$5:$L$1504,Roster!$B$5:$B$1504,$A262)</f>
        <v>8</v>
      </c>
      <c r="P262" s="83">
        <f>SUMIFS(Roster!$M$5:$M$1504,Roster!$B$5:$B$1504,$A262)*J262</f>
        <v>67410.000000000015</v>
      </c>
      <c r="Q262" s="83">
        <f>SUMIFS(Roster!$O$5:$O$1504,Roster!$B$5:$B$1504,$A262)*J262</f>
        <v>101115</v>
      </c>
      <c r="R262" s="82">
        <f t="shared" si="30"/>
        <v>101115</v>
      </c>
      <c r="S262" s="82">
        <f t="shared" si="31"/>
        <v>0</v>
      </c>
      <c r="T262" s="82">
        <f t="shared" si="32"/>
        <v>89.999999999985448</v>
      </c>
      <c r="U262" s="82">
        <f t="shared" si="33"/>
        <v>0</v>
      </c>
      <c r="V262" s="83">
        <f>IF(COUNTIFS(Roster!$B$5:$B$1504,$A262,Roster!$G$5:$G$1504,"&gt;0")=0,0,SUMIFS(Roster!$H$5:$H$1504,Roster!$B$5:$B$1504,$A262,Roster!$G$5:$G$1504,_xlfn.MAXIFS(Roster!$G$5:$G$1504,Roster!$B$5:$B$1504,$A262)))</f>
        <v>0</v>
      </c>
      <c r="W262" s="101" t="str">
        <f t="shared" si="34"/>
        <v>Filled</v>
      </c>
    </row>
    <row r="263" spans="1:23" x14ac:dyDescent="0.25">
      <c r="A263" s="76" t="s">
        <v>680</v>
      </c>
      <c r="B263" s="76" t="s">
        <v>356</v>
      </c>
      <c r="C263" s="76" t="s">
        <v>654</v>
      </c>
      <c r="D263" s="97">
        <v>1</v>
      </c>
      <c r="E263" s="98" t="s">
        <v>325</v>
      </c>
      <c r="F263" s="78">
        <v>54500</v>
      </c>
      <c r="G263" s="97">
        <v>1</v>
      </c>
      <c r="H263" s="98" t="s">
        <v>399</v>
      </c>
      <c r="J263" s="99">
        <f>1+Assumptions!$B$11+INDEX(Assumptions!$B$12:$B$15,D263)*Assumptions!$B$16</f>
        <v>1.3</v>
      </c>
      <c r="K263" s="82">
        <f t="shared" si="28"/>
        <v>70850</v>
      </c>
      <c r="L263" s="100">
        <f>IF(E263="Yes",MAX(0,Assumptions!$B$8-G263+1),0)</f>
        <v>8</v>
      </c>
      <c r="M263" s="82">
        <f t="shared" si="29"/>
        <v>47233.333333333336</v>
      </c>
      <c r="N263" s="100">
        <f>MIN(1,SUMIFS(Roster!$N$5:$N$1504,Roster!$B$5:$B$1504,$A263))</f>
        <v>1</v>
      </c>
      <c r="O263" s="100">
        <f>SUMIFS(Roster!$L$5:$L$1504,Roster!$B$5:$B$1504,$A263)</f>
        <v>8</v>
      </c>
      <c r="P263" s="83">
        <f>SUMIFS(Roster!$M$5:$M$1504,Roster!$B$5:$B$1504,$A263)*J263</f>
        <v>46800</v>
      </c>
      <c r="Q263" s="83">
        <f>SUMIFS(Roster!$O$5:$O$1504,Roster!$B$5:$B$1504,$A263)*J263</f>
        <v>70200</v>
      </c>
      <c r="R263" s="82">
        <f t="shared" si="30"/>
        <v>70200</v>
      </c>
      <c r="S263" s="82">
        <f t="shared" si="31"/>
        <v>0</v>
      </c>
      <c r="T263" s="82">
        <f t="shared" si="32"/>
        <v>433.33333333333576</v>
      </c>
      <c r="U263" s="82">
        <f t="shared" si="33"/>
        <v>0</v>
      </c>
      <c r="V263" s="83">
        <f>IF(COUNTIFS(Roster!$B$5:$B$1504,$A263,Roster!$G$5:$G$1504,"&gt;0")=0,0,SUMIFS(Roster!$H$5:$H$1504,Roster!$B$5:$B$1504,$A263,Roster!$G$5:$G$1504,_xlfn.MAXIFS(Roster!$G$5:$G$1504,Roster!$B$5:$B$1504,$A263)))</f>
        <v>0</v>
      </c>
      <c r="W263" s="101" t="str">
        <f t="shared" si="34"/>
        <v>Filled</v>
      </c>
    </row>
    <row r="264" spans="1:23" x14ac:dyDescent="0.25">
      <c r="A264" s="76" t="s">
        <v>681</v>
      </c>
      <c r="B264" s="76" t="s">
        <v>356</v>
      </c>
      <c r="C264" s="76" t="s">
        <v>654</v>
      </c>
      <c r="D264" s="97">
        <v>1</v>
      </c>
      <c r="E264" s="98" t="s">
        <v>325</v>
      </c>
      <c r="F264" s="78">
        <v>63500</v>
      </c>
      <c r="G264" s="97">
        <v>1</v>
      </c>
      <c r="H264" s="98" t="s">
        <v>399</v>
      </c>
      <c r="J264" s="99">
        <f>1+Assumptions!$B$11+INDEX(Assumptions!$B$12:$B$15,D264)*Assumptions!$B$16</f>
        <v>1.3</v>
      </c>
      <c r="K264" s="82">
        <f t="shared" si="28"/>
        <v>82550</v>
      </c>
      <c r="L264" s="100">
        <f>IF(E264="Yes",MAX(0,Assumptions!$B$8-G264+1),0)</f>
        <v>8</v>
      </c>
      <c r="M264" s="82">
        <f t="shared" si="29"/>
        <v>55033.333333333336</v>
      </c>
      <c r="N264" s="100">
        <f>MIN(1,SUMIFS(Roster!$N$5:$N$1504,Roster!$B$5:$B$1504,$A264))</f>
        <v>1</v>
      </c>
      <c r="O264" s="100">
        <f>SUMIFS(Roster!$L$5:$L$1504,Roster!$B$5:$B$1504,$A264)</f>
        <v>8</v>
      </c>
      <c r="P264" s="83">
        <f>SUMIFS(Roster!$M$5:$M$1504,Roster!$B$5:$B$1504,$A264)*J264</f>
        <v>54686.666666666664</v>
      </c>
      <c r="Q264" s="83">
        <f>SUMIFS(Roster!$O$5:$O$1504,Roster!$B$5:$B$1504,$A264)*J264</f>
        <v>82030</v>
      </c>
      <c r="R264" s="82">
        <f t="shared" si="30"/>
        <v>82030</v>
      </c>
      <c r="S264" s="82">
        <f t="shared" si="31"/>
        <v>0</v>
      </c>
      <c r="T264" s="82">
        <f t="shared" si="32"/>
        <v>346.66666666667152</v>
      </c>
      <c r="U264" s="82">
        <f t="shared" si="33"/>
        <v>0</v>
      </c>
      <c r="V264" s="83">
        <f>IF(COUNTIFS(Roster!$B$5:$B$1504,$A264,Roster!$G$5:$G$1504,"&gt;0")=0,0,SUMIFS(Roster!$H$5:$H$1504,Roster!$B$5:$B$1504,$A264,Roster!$G$5:$G$1504,_xlfn.MAXIFS(Roster!$G$5:$G$1504,Roster!$B$5:$B$1504,$A264)))</f>
        <v>0</v>
      </c>
      <c r="W264" s="101" t="str">
        <f t="shared" si="34"/>
        <v>Filled</v>
      </c>
    </row>
    <row r="265" spans="1:23" x14ac:dyDescent="0.25">
      <c r="A265" s="76" t="s">
        <v>682</v>
      </c>
      <c r="B265" s="76" t="s">
        <v>356</v>
      </c>
      <c r="C265" s="76" t="s">
        <v>665</v>
      </c>
      <c r="D265" s="97">
        <v>3</v>
      </c>
      <c r="E265" s="98" t="s">
        <v>325</v>
      </c>
      <c r="F265" s="78">
        <v>131500</v>
      </c>
      <c r="G265" s="97">
        <v>1</v>
      </c>
      <c r="H265" s="98" t="s">
        <v>399</v>
      </c>
      <c r="J265" s="99">
        <f>1+Assumptions!$B$11+INDEX(Assumptions!$B$12:$B$15,D265)*Assumptions!$B$16</f>
        <v>1.4</v>
      </c>
      <c r="K265" s="82">
        <f t="shared" si="28"/>
        <v>184100</v>
      </c>
      <c r="L265" s="100">
        <f>IF(E265="Yes",MAX(0,Assumptions!$B$8-G265+1),0)</f>
        <v>8</v>
      </c>
      <c r="M265" s="82">
        <f t="shared" si="29"/>
        <v>122733.33333333333</v>
      </c>
      <c r="N265" s="100">
        <f>MIN(1,SUMIFS(Roster!$N$5:$N$1504,Roster!$B$5:$B$1504,$A265))</f>
        <v>1</v>
      </c>
      <c r="O265" s="100">
        <f>SUMIFS(Roster!$L$5:$L$1504,Roster!$B$5:$B$1504,$A265)</f>
        <v>8</v>
      </c>
      <c r="P265" s="83">
        <f>SUMIFS(Roster!$M$5:$M$1504,Roster!$B$5:$B$1504,$A265)*J265</f>
        <v>122079.99999999999</v>
      </c>
      <c r="Q265" s="83">
        <f>SUMIFS(Roster!$O$5:$O$1504,Roster!$B$5:$B$1504,$A265)*J265</f>
        <v>183120</v>
      </c>
      <c r="R265" s="82">
        <f t="shared" si="30"/>
        <v>183120</v>
      </c>
      <c r="S265" s="82">
        <f t="shared" si="31"/>
        <v>0</v>
      </c>
      <c r="T265" s="82">
        <f t="shared" si="32"/>
        <v>653.33333333334303</v>
      </c>
      <c r="U265" s="82">
        <f t="shared" si="33"/>
        <v>0</v>
      </c>
      <c r="V265" s="83">
        <f>IF(COUNTIFS(Roster!$B$5:$B$1504,$A265,Roster!$G$5:$G$1504,"&gt;0")=0,0,SUMIFS(Roster!$H$5:$H$1504,Roster!$B$5:$B$1504,$A265,Roster!$G$5:$G$1504,_xlfn.MAXIFS(Roster!$G$5:$G$1504,Roster!$B$5:$B$1504,$A265)))</f>
        <v>0</v>
      </c>
      <c r="W265" s="101" t="str">
        <f t="shared" si="34"/>
        <v>Filled</v>
      </c>
    </row>
    <row r="266" spans="1:23" x14ac:dyDescent="0.25">
      <c r="A266" s="76" t="s">
        <v>683</v>
      </c>
      <c r="B266" s="76" t="s">
        <v>356</v>
      </c>
      <c r="C266" s="76" t="s">
        <v>654</v>
      </c>
      <c r="D266" s="97">
        <v>1</v>
      </c>
      <c r="E266" s="98" t="s">
        <v>325</v>
      </c>
      <c r="F266" s="78">
        <v>54000</v>
      </c>
      <c r="G266" s="97">
        <v>1</v>
      </c>
      <c r="H266" s="98" t="s">
        <v>399</v>
      </c>
      <c r="J266" s="99">
        <f>1+Assumptions!$B$11+INDEX(Assumptions!$B$12:$B$15,D266)*Assumptions!$B$16</f>
        <v>1.3</v>
      </c>
      <c r="K266" s="82">
        <f t="shared" si="28"/>
        <v>70200</v>
      </c>
      <c r="L266" s="100">
        <f>IF(E266="Yes",MAX(0,Assumptions!$B$8-G266+1),0)</f>
        <v>8</v>
      </c>
      <c r="M266" s="82">
        <f t="shared" si="29"/>
        <v>46800</v>
      </c>
      <c r="N266" s="100">
        <f>MIN(1,SUMIFS(Roster!$N$5:$N$1504,Roster!$B$5:$B$1504,$A266))</f>
        <v>1</v>
      </c>
      <c r="O266" s="100">
        <f>SUMIFS(Roster!$L$5:$L$1504,Roster!$B$5:$B$1504,$A266)</f>
        <v>8</v>
      </c>
      <c r="P266" s="83">
        <f>SUMIFS(Roster!$M$5:$M$1504,Roster!$B$5:$B$1504,$A266)*J266</f>
        <v>46626.666666666664</v>
      </c>
      <c r="Q266" s="83">
        <f>SUMIFS(Roster!$O$5:$O$1504,Roster!$B$5:$B$1504,$A266)*J266</f>
        <v>69940</v>
      </c>
      <c r="R266" s="82">
        <f t="shared" si="30"/>
        <v>69940</v>
      </c>
      <c r="S266" s="82">
        <f t="shared" si="31"/>
        <v>0</v>
      </c>
      <c r="T266" s="82">
        <f t="shared" si="32"/>
        <v>173.33333333333576</v>
      </c>
      <c r="U266" s="82">
        <f t="shared" si="33"/>
        <v>0</v>
      </c>
      <c r="V266" s="83">
        <f>IF(COUNTIFS(Roster!$B$5:$B$1504,$A266,Roster!$G$5:$G$1504,"&gt;0")=0,0,SUMIFS(Roster!$H$5:$H$1504,Roster!$B$5:$B$1504,$A266,Roster!$G$5:$G$1504,_xlfn.MAXIFS(Roster!$G$5:$G$1504,Roster!$B$5:$B$1504,$A266)))</f>
        <v>0</v>
      </c>
      <c r="W266" s="101" t="str">
        <f t="shared" si="34"/>
        <v>Filled</v>
      </c>
    </row>
    <row r="267" spans="1:23" x14ac:dyDescent="0.25">
      <c r="A267" s="76" t="s">
        <v>684</v>
      </c>
      <c r="B267" s="76" t="s">
        <v>356</v>
      </c>
      <c r="C267" s="76" t="s">
        <v>654</v>
      </c>
      <c r="D267" s="97">
        <v>1</v>
      </c>
      <c r="E267" s="98" t="s">
        <v>325</v>
      </c>
      <c r="F267" s="78">
        <v>57500</v>
      </c>
      <c r="G267" s="97">
        <v>1</v>
      </c>
      <c r="H267" s="98" t="s">
        <v>399</v>
      </c>
      <c r="J267" s="99">
        <f>1+Assumptions!$B$11+INDEX(Assumptions!$B$12:$B$15,D267)*Assumptions!$B$16</f>
        <v>1.3</v>
      </c>
      <c r="K267" s="82">
        <f t="shared" si="28"/>
        <v>74750</v>
      </c>
      <c r="L267" s="100">
        <f>IF(E267="Yes",MAX(0,Assumptions!$B$8-G267+1),0)</f>
        <v>8</v>
      </c>
      <c r="M267" s="82">
        <f t="shared" si="29"/>
        <v>49833.333333333336</v>
      </c>
      <c r="N267" s="100">
        <f>MIN(1,SUMIFS(Roster!$N$5:$N$1504,Roster!$B$5:$B$1504,$A267))</f>
        <v>1</v>
      </c>
      <c r="O267" s="100">
        <f>SUMIFS(Roster!$L$5:$L$1504,Roster!$B$5:$B$1504,$A267)</f>
        <v>8</v>
      </c>
      <c r="P267" s="83">
        <f>SUMIFS(Roster!$M$5:$M$1504,Roster!$B$5:$B$1504,$A267)*J267</f>
        <v>49660</v>
      </c>
      <c r="Q267" s="83">
        <f>SUMIFS(Roster!$O$5:$O$1504,Roster!$B$5:$B$1504,$A267)*J267</f>
        <v>74490</v>
      </c>
      <c r="R267" s="82">
        <f t="shared" si="30"/>
        <v>74490</v>
      </c>
      <c r="S267" s="82">
        <f t="shared" si="31"/>
        <v>0</v>
      </c>
      <c r="T267" s="82">
        <f t="shared" si="32"/>
        <v>173.33333333333576</v>
      </c>
      <c r="U267" s="82">
        <f t="shared" si="33"/>
        <v>0</v>
      </c>
      <c r="V267" s="83">
        <f>IF(COUNTIFS(Roster!$B$5:$B$1504,$A267,Roster!$G$5:$G$1504,"&gt;0")=0,0,SUMIFS(Roster!$H$5:$H$1504,Roster!$B$5:$B$1504,$A267,Roster!$G$5:$G$1504,_xlfn.MAXIFS(Roster!$G$5:$G$1504,Roster!$B$5:$B$1504,$A267)))</f>
        <v>0</v>
      </c>
      <c r="W267" s="101" t="str">
        <f t="shared" si="34"/>
        <v>Filled</v>
      </c>
    </row>
    <row r="268" spans="1:23" x14ac:dyDescent="0.25">
      <c r="A268" s="76" t="s">
        <v>685</v>
      </c>
      <c r="B268" s="76" t="s">
        <v>356</v>
      </c>
      <c r="C268" s="76" t="s">
        <v>651</v>
      </c>
      <c r="D268" s="97">
        <v>2</v>
      </c>
      <c r="E268" s="98" t="s">
        <v>325</v>
      </c>
      <c r="F268" s="78">
        <v>85500</v>
      </c>
      <c r="G268" s="97">
        <v>1</v>
      </c>
      <c r="H268" s="98" t="s">
        <v>399</v>
      </c>
      <c r="J268" s="99">
        <f>1+Assumptions!$B$11+INDEX(Assumptions!$B$12:$B$15,D268)*Assumptions!$B$16</f>
        <v>1.35</v>
      </c>
      <c r="K268" s="82">
        <f t="shared" si="28"/>
        <v>115425.00000000001</v>
      </c>
      <c r="L268" s="100">
        <f>IF(E268="Yes",MAX(0,Assumptions!$B$8-G268+1),0)</f>
        <v>8</v>
      </c>
      <c r="M268" s="82">
        <f t="shared" si="29"/>
        <v>76950.000000000015</v>
      </c>
      <c r="N268" s="100">
        <f>MIN(1,SUMIFS(Roster!$N$5:$N$1504,Roster!$B$5:$B$1504,$A268))</f>
        <v>0</v>
      </c>
      <c r="O268" s="100">
        <f>SUMIFS(Roster!$L$5:$L$1504,Roster!$B$5:$B$1504,$A268)</f>
        <v>6</v>
      </c>
      <c r="P268" s="83">
        <f>SUMIFS(Roster!$M$5:$M$1504,Roster!$B$5:$B$1504,$A268)*J268</f>
        <v>58252.500000000007</v>
      </c>
      <c r="Q268" s="83">
        <f>SUMIFS(Roster!$O$5:$O$1504,Roster!$B$5:$B$1504,$A268)*J268</f>
        <v>0</v>
      </c>
      <c r="R268" s="82">
        <f t="shared" si="30"/>
        <v>115425.00000000001</v>
      </c>
      <c r="S268" s="82">
        <f t="shared" si="31"/>
        <v>19237.500000000004</v>
      </c>
      <c r="T268" s="82">
        <f t="shared" si="32"/>
        <v>-540</v>
      </c>
      <c r="U268" s="82">
        <f t="shared" si="33"/>
        <v>0</v>
      </c>
      <c r="V268" s="83">
        <f>IF(COUNTIFS(Roster!$B$5:$B$1504,$A268,Roster!$G$5:$G$1504,"&gt;0")=0,0,SUMIFS(Roster!$H$5:$H$1504,Roster!$B$5:$B$1504,$A268,Roster!$G$5:$G$1504,_xlfn.MAXIFS(Roster!$G$5:$G$1504,Roster!$B$5:$B$1504,$A268)))</f>
        <v>86300</v>
      </c>
      <c r="W268" s="101" t="str">
        <f t="shared" si="34"/>
        <v>Open: to fill</v>
      </c>
    </row>
    <row r="269" spans="1:23" x14ac:dyDescent="0.25">
      <c r="A269" s="76" t="s">
        <v>686</v>
      </c>
      <c r="B269" s="76" t="s">
        <v>356</v>
      </c>
      <c r="C269" s="76" t="s">
        <v>651</v>
      </c>
      <c r="D269" s="97">
        <v>2</v>
      </c>
      <c r="E269" s="98" t="s">
        <v>325</v>
      </c>
      <c r="F269" s="78">
        <v>96000</v>
      </c>
      <c r="G269" s="97">
        <v>1</v>
      </c>
      <c r="H269" s="98" t="s">
        <v>399</v>
      </c>
      <c r="J269" s="99">
        <f>1+Assumptions!$B$11+INDEX(Assumptions!$B$12:$B$15,D269)*Assumptions!$B$16</f>
        <v>1.35</v>
      </c>
      <c r="K269" s="82">
        <f t="shared" si="28"/>
        <v>129600.00000000001</v>
      </c>
      <c r="L269" s="100">
        <f>IF(E269="Yes",MAX(0,Assumptions!$B$8-G269+1),0)</f>
        <v>8</v>
      </c>
      <c r="M269" s="82">
        <f t="shared" si="29"/>
        <v>86400.000000000015</v>
      </c>
      <c r="N269" s="100">
        <f>MIN(1,SUMIFS(Roster!$N$5:$N$1504,Roster!$B$5:$B$1504,$A269))</f>
        <v>1</v>
      </c>
      <c r="O269" s="100">
        <f>SUMIFS(Roster!$L$5:$L$1504,Roster!$B$5:$B$1504,$A269)</f>
        <v>8</v>
      </c>
      <c r="P269" s="83">
        <f>SUMIFS(Roster!$M$5:$M$1504,Roster!$B$5:$B$1504,$A269)*J269</f>
        <v>87120.000000000015</v>
      </c>
      <c r="Q269" s="83">
        <f>SUMIFS(Roster!$O$5:$O$1504,Roster!$B$5:$B$1504,$A269)*J269</f>
        <v>130680.00000000001</v>
      </c>
      <c r="R269" s="82">
        <f t="shared" si="30"/>
        <v>130680.00000000001</v>
      </c>
      <c r="S269" s="82">
        <f t="shared" si="31"/>
        <v>0</v>
      </c>
      <c r="T269" s="82">
        <f t="shared" si="32"/>
        <v>-720</v>
      </c>
      <c r="U269" s="82">
        <f t="shared" si="33"/>
        <v>0</v>
      </c>
      <c r="V269" s="83">
        <f>IF(COUNTIFS(Roster!$B$5:$B$1504,$A269,Roster!$G$5:$G$1504,"&gt;0")=0,0,SUMIFS(Roster!$H$5:$H$1504,Roster!$B$5:$B$1504,$A269,Roster!$G$5:$G$1504,_xlfn.MAXIFS(Roster!$G$5:$G$1504,Roster!$B$5:$B$1504,$A269)))</f>
        <v>0</v>
      </c>
      <c r="W269" s="101" t="str">
        <f t="shared" si="34"/>
        <v>Filled</v>
      </c>
    </row>
    <row r="270" spans="1:23" x14ac:dyDescent="0.25">
      <c r="A270" s="76" t="s">
        <v>687</v>
      </c>
      <c r="B270" s="76" t="s">
        <v>356</v>
      </c>
      <c r="C270" s="76" t="s">
        <v>651</v>
      </c>
      <c r="D270" s="97">
        <v>2</v>
      </c>
      <c r="E270" s="98" t="s">
        <v>325</v>
      </c>
      <c r="F270" s="78">
        <v>89500</v>
      </c>
      <c r="G270" s="97">
        <v>1</v>
      </c>
      <c r="H270" s="98" t="s">
        <v>399</v>
      </c>
      <c r="J270" s="99">
        <f>1+Assumptions!$B$11+INDEX(Assumptions!$B$12:$B$15,D270)*Assumptions!$B$16</f>
        <v>1.35</v>
      </c>
      <c r="K270" s="82">
        <f t="shared" si="28"/>
        <v>120825.00000000001</v>
      </c>
      <c r="L270" s="100">
        <f>IF(E270="Yes",MAX(0,Assumptions!$B$8-G270+1),0)</f>
        <v>8</v>
      </c>
      <c r="M270" s="82">
        <f t="shared" si="29"/>
        <v>80550.000000000015</v>
      </c>
      <c r="N270" s="100">
        <f>MIN(1,SUMIFS(Roster!$N$5:$N$1504,Roster!$B$5:$B$1504,$A270))</f>
        <v>1</v>
      </c>
      <c r="O270" s="100">
        <f>SUMIFS(Roster!$L$5:$L$1504,Roster!$B$5:$B$1504,$A270)</f>
        <v>7</v>
      </c>
      <c r="P270" s="83">
        <f>SUMIFS(Roster!$M$5:$M$1504,Roster!$B$5:$B$1504,$A270)*J270</f>
        <v>70425.000000000015</v>
      </c>
      <c r="Q270" s="83">
        <f>SUMIFS(Roster!$O$5:$O$1504,Roster!$B$5:$B$1504,$A270)*J270</f>
        <v>120150.00000000001</v>
      </c>
      <c r="R270" s="82">
        <f t="shared" si="30"/>
        <v>120150.00000000001</v>
      </c>
      <c r="S270" s="82">
        <f t="shared" si="31"/>
        <v>10068.750000000002</v>
      </c>
      <c r="T270" s="82">
        <f t="shared" si="32"/>
        <v>56.25</v>
      </c>
      <c r="U270" s="82">
        <f t="shared" si="33"/>
        <v>0</v>
      </c>
      <c r="V270" s="83">
        <f>IF(COUNTIFS(Roster!$B$5:$B$1504,$A270,Roster!$G$5:$G$1504,"&gt;0")=0,0,SUMIFS(Roster!$H$5:$H$1504,Roster!$B$5:$B$1504,$A270,Roster!$G$5:$G$1504,_xlfn.MAXIFS(Roster!$G$5:$G$1504,Roster!$B$5:$B$1504,$A270)))</f>
        <v>89600</v>
      </c>
      <c r="W270" s="101" t="str">
        <f t="shared" si="34"/>
        <v>Filled</v>
      </c>
    </row>
    <row r="271" spans="1:23" x14ac:dyDescent="0.25">
      <c r="A271" s="76" t="s">
        <v>688</v>
      </c>
      <c r="B271" s="76" t="s">
        <v>356</v>
      </c>
      <c r="C271" s="76" t="s">
        <v>654</v>
      </c>
      <c r="D271" s="97">
        <v>1</v>
      </c>
      <c r="E271" s="98" t="s">
        <v>325</v>
      </c>
      <c r="F271" s="78">
        <v>61000</v>
      </c>
      <c r="G271" s="97">
        <v>1</v>
      </c>
      <c r="H271" s="98" t="s">
        <v>399</v>
      </c>
      <c r="J271" s="99">
        <f>1+Assumptions!$B$11+INDEX(Assumptions!$B$12:$B$15,D271)*Assumptions!$B$16</f>
        <v>1.3</v>
      </c>
      <c r="K271" s="82">
        <f t="shared" si="28"/>
        <v>79300</v>
      </c>
      <c r="L271" s="100">
        <f>IF(E271="Yes",MAX(0,Assumptions!$B$8-G271+1),0)</f>
        <v>8</v>
      </c>
      <c r="M271" s="82">
        <f t="shared" si="29"/>
        <v>52866.666666666664</v>
      </c>
      <c r="N271" s="100">
        <f>MIN(1,SUMIFS(Roster!$N$5:$N$1504,Roster!$B$5:$B$1504,$A271))</f>
        <v>1</v>
      </c>
      <c r="O271" s="100">
        <f>SUMIFS(Roster!$L$5:$L$1504,Roster!$B$5:$B$1504,$A271)</f>
        <v>8</v>
      </c>
      <c r="P271" s="83">
        <f>SUMIFS(Roster!$M$5:$M$1504,Roster!$B$5:$B$1504,$A271)*J271</f>
        <v>52520</v>
      </c>
      <c r="Q271" s="83">
        <f>SUMIFS(Roster!$O$5:$O$1504,Roster!$B$5:$B$1504,$A271)*J271</f>
        <v>78780</v>
      </c>
      <c r="R271" s="82">
        <f t="shared" si="30"/>
        <v>78780</v>
      </c>
      <c r="S271" s="82">
        <f t="shared" si="31"/>
        <v>0</v>
      </c>
      <c r="T271" s="82">
        <f t="shared" si="32"/>
        <v>346.66666666666424</v>
      </c>
      <c r="U271" s="82">
        <f t="shared" si="33"/>
        <v>0</v>
      </c>
      <c r="V271" s="83">
        <f>IF(COUNTIFS(Roster!$B$5:$B$1504,$A271,Roster!$G$5:$G$1504,"&gt;0")=0,0,SUMIFS(Roster!$H$5:$H$1504,Roster!$B$5:$B$1504,$A271,Roster!$G$5:$G$1504,_xlfn.MAXIFS(Roster!$G$5:$G$1504,Roster!$B$5:$B$1504,$A271)))</f>
        <v>0</v>
      </c>
      <c r="W271" s="101" t="str">
        <f t="shared" si="34"/>
        <v>Filled</v>
      </c>
    </row>
    <row r="272" spans="1:23" x14ac:dyDescent="0.25">
      <c r="A272" s="76" t="s">
        <v>689</v>
      </c>
      <c r="B272" s="76" t="s">
        <v>356</v>
      </c>
      <c r="C272" s="76" t="s">
        <v>651</v>
      </c>
      <c r="D272" s="97">
        <v>2</v>
      </c>
      <c r="E272" s="98" t="s">
        <v>325</v>
      </c>
      <c r="F272" s="78">
        <v>72500</v>
      </c>
      <c r="G272" s="97">
        <v>3</v>
      </c>
      <c r="H272" s="98" t="s">
        <v>399</v>
      </c>
      <c r="J272" s="99">
        <f>1+Assumptions!$B$11+INDEX(Assumptions!$B$12:$B$15,D272)*Assumptions!$B$16</f>
        <v>1.35</v>
      </c>
      <c r="K272" s="82">
        <f t="shared" si="28"/>
        <v>97875</v>
      </c>
      <c r="L272" s="100">
        <f>IF(E272="Yes",MAX(0,Assumptions!$B$8-G272+1),0)</f>
        <v>6</v>
      </c>
      <c r="M272" s="82">
        <f t="shared" si="29"/>
        <v>48937.5</v>
      </c>
      <c r="N272" s="100">
        <f>MIN(1,SUMIFS(Roster!$N$5:$N$1504,Roster!$B$5:$B$1504,$A272))</f>
        <v>1</v>
      </c>
      <c r="O272" s="100">
        <f>SUMIFS(Roster!$L$5:$L$1504,Roster!$B$5:$B$1504,$A272)</f>
        <v>5</v>
      </c>
      <c r="P272" s="83">
        <f>SUMIFS(Roster!$M$5:$M$1504,Roster!$B$5:$B$1504,$A272)*J272</f>
        <v>39937.5</v>
      </c>
      <c r="Q272" s="83">
        <f>SUMIFS(Roster!$O$5:$O$1504,Roster!$B$5:$B$1504,$A272)*J272</f>
        <v>95850</v>
      </c>
      <c r="R272" s="82">
        <f t="shared" si="30"/>
        <v>95850</v>
      </c>
      <c r="S272" s="82">
        <f t="shared" si="31"/>
        <v>8156.25</v>
      </c>
      <c r="T272" s="82">
        <f t="shared" si="32"/>
        <v>843.75</v>
      </c>
      <c r="U272" s="82">
        <f t="shared" si="33"/>
        <v>0</v>
      </c>
      <c r="V272" s="83">
        <f>IF(COUNTIFS(Roster!$B$5:$B$1504,$A272,Roster!$G$5:$G$1504,"&gt;0")=0,0,SUMIFS(Roster!$H$5:$H$1504,Roster!$B$5:$B$1504,$A272,Roster!$G$5:$G$1504,_xlfn.MAXIFS(Roster!$G$5:$G$1504,Roster!$B$5:$B$1504,$A272)))</f>
        <v>0</v>
      </c>
      <c r="W272" s="101" t="str">
        <f t="shared" si="34"/>
        <v>Filled</v>
      </c>
    </row>
    <row r="273" spans="1:23" x14ac:dyDescent="0.25">
      <c r="A273" s="76" t="s">
        <v>690</v>
      </c>
      <c r="B273" s="76" t="s">
        <v>355</v>
      </c>
      <c r="C273" s="76" t="s">
        <v>691</v>
      </c>
      <c r="D273" s="97">
        <v>2</v>
      </c>
      <c r="E273" s="98" t="s">
        <v>325</v>
      </c>
      <c r="F273" s="78">
        <v>86500</v>
      </c>
      <c r="G273" s="97">
        <v>1</v>
      </c>
      <c r="H273" s="98" t="s">
        <v>399</v>
      </c>
      <c r="J273" s="99">
        <f>1+Assumptions!$B$11+INDEX(Assumptions!$B$12:$B$15,D273)*Assumptions!$B$16</f>
        <v>1.35</v>
      </c>
      <c r="K273" s="82">
        <f t="shared" si="28"/>
        <v>116775.00000000001</v>
      </c>
      <c r="L273" s="100">
        <f>IF(E273="Yes",MAX(0,Assumptions!$B$8-G273+1),0)</f>
        <v>8</v>
      </c>
      <c r="M273" s="82">
        <f t="shared" si="29"/>
        <v>77850.000000000015</v>
      </c>
      <c r="N273" s="100">
        <f>MIN(1,SUMIFS(Roster!$N$5:$N$1504,Roster!$B$5:$B$1504,$A273))</f>
        <v>1</v>
      </c>
      <c r="O273" s="100">
        <f>SUMIFS(Roster!$L$5:$L$1504,Roster!$B$5:$B$1504,$A273)</f>
        <v>8</v>
      </c>
      <c r="P273" s="83">
        <f>SUMIFS(Roster!$M$5:$M$1504,Roster!$B$5:$B$1504,$A273)*J273</f>
        <v>78390</v>
      </c>
      <c r="Q273" s="83">
        <f>SUMIFS(Roster!$O$5:$O$1504,Roster!$B$5:$B$1504,$A273)*J273</f>
        <v>117585.00000000001</v>
      </c>
      <c r="R273" s="82">
        <f t="shared" si="30"/>
        <v>117585.00000000001</v>
      </c>
      <c r="S273" s="82">
        <f t="shared" si="31"/>
        <v>0</v>
      </c>
      <c r="T273" s="82">
        <f t="shared" si="32"/>
        <v>-539.99999999998545</v>
      </c>
      <c r="U273" s="82">
        <f t="shared" si="33"/>
        <v>0</v>
      </c>
      <c r="V273" s="83">
        <f>IF(COUNTIFS(Roster!$B$5:$B$1504,$A273,Roster!$G$5:$G$1504,"&gt;0")=0,0,SUMIFS(Roster!$H$5:$H$1504,Roster!$B$5:$B$1504,$A273,Roster!$G$5:$G$1504,_xlfn.MAXIFS(Roster!$G$5:$G$1504,Roster!$B$5:$B$1504,$A273)))</f>
        <v>0</v>
      </c>
      <c r="W273" s="101" t="str">
        <f t="shared" si="34"/>
        <v>Filled</v>
      </c>
    </row>
    <row r="274" spans="1:23" x14ac:dyDescent="0.25">
      <c r="A274" s="76" t="s">
        <v>692</v>
      </c>
      <c r="B274" s="76" t="s">
        <v>355</v>
      </c>
      <c r="C274" s="76" t="s">
        <v>693</v>
      </c>
      <c r="D274" s="97">
        <v>1</v>
      </c>
      <c r="E274" s="98" t="s">
        <v>325</v>
      </c>
      <c r="F274" s="78">
        <v>55000</v>
      </c>
      <c r="G274" s="97">
        <v>1</v>
      </c>
      <c r="H274" s="98" t="s">
        <v>399</v>
      </c>
      <c r="J274" s="99">
        <f>1+Assumptions!$B$11+INDEX(Assumptions!$B$12:$B$15,D274)*Assumptions!$B$16</f>
        <v>1.3</v>
      </c>
      <c r="K274" s="82">
        <f t="shared" si="28"/>
        <v>71500</v>
      </c>
      <c r="L274" s="100">
        <f>IF(E274="Yes",MAX(0,Assumptions!$B$8-G274+1),0)</f>
        <v>8</v>
      </c>
      <c r="M274" s="82">
        <f t="shared" si="29"/>
        <v>47666.666666666664</v>
      </c>
      <c r="N274" s="100">
        <f>MIN(1,SUMIFS(Roster!$N$5:$N$1504,Roster!$B$5:$B$1504,$A274))</f>
        <v>1</v>
      </c>
      <c r="O274" s="100">
        <f>SUMIFS(Roster!$L$5:$L$1504,Roster!$B$5:$B$1504,$A274)</f>
        <v>8</v>
      </c>
      <c r="P274" s="83">
        <f>SUMIFS(Roster!$M$5:$M$1504,Roster!$B$5:$B$1504,$A274)*J274</f>
        <v>47840</v>
      </c>
      <c r="Q274" s="83">
        <f>SUMIFS(Roster!$O$5:$O$1504,Roster!$B$5:$B$1504,$A274)*J274</f>
        <v>71760</v>
      </c>
      <c r="R274" s="82">
        <f t="shared" si="30"/>
        <v>71760</v>
      </c>
      <c r="S274" s="82">
        <f t="shared" si="31"/>
        <v>0</v>
      </c>
      <c r="T274" s="82">
        <f t="shared" si="32"/>
        <v>-173.33333333333576</v>
      </c>
      <c r="U274" s="82">
        <f t="shared" si="33"/>
        <v>0</v>
      </c>
      <c r="V274" s="83">
        <f>IF(COUNTIFS(Roster!$B$5:$B$1504,$A274,Roster!$G$5:$G$1504,"&gt;0")=0,0,SUMIFS(Roster!$H$5:$H$1504,Roster!$B$5:$B$1504,$A274,Roster!$G$5:$G$1504,_xlfn.MAXIFS(Roster!$G$5:$G$1504,Roster!$B$5:$B$1504,$A274)))</f>
        <v>0</v>
      </c>
      <c r="W274" s="101" t="str">
        <f t="shared" si="34"/>
        <v>Filled</v>
      </c>
    </row>
    <row r="275" spans="1:23" x14ac:dyDescent="0.25">
      <c r="A275" s="76" t="s">
        <v>694</v>
      </c>
      <c r="B275" s="76" t="s">
        <v>355</v>
      </c>
      <c r="C275" s="76" t="s">
        <v>691</v>
      </c>
      <c r="D275" s="97">
        <v>2</v>
      </c>
      <c r="E275" s="98" t="s">
        <v>325</v>
      </c>
      <c r="F275" s="78">
        <v>90500</v>
      </c>
      <c r="G275" s="97">
        <v>1</v>
      </c>
      <c r="H275" s="98" t="s">
        <v>399</v>
      </c>
      <c r="J275" s="99">
        <f>1+Assumptions!$B$11+INDEX(Assumptions!$B$12:$B$15,D275)*Assumptions!$B$16</f>
        <v>1.35</v>
      </c>
      <c r="K275" s="82">
        <f t="shared" si="28"/>
        <v>122175.00000000001</v>
      </c>
      <c r="L275" s="100">
        <f>IF(E275="Yes",MAX(0,Assumptions!$B$8-G275+1),0)</f>
        <v>8</v>
      </c>
      <c r="M275" s="82">
        <f t="shared" si="29"/>
        <v>81450.000000000015</v>
      </c>
      <c r="N275" s="100">
        <f>MIN(1,SUMIFS(Roster!$N$5:$N$1504,Roster!$B$5:$B$1504,$A275))</f>
        <v>1</v>
      </c>
      <c r="O275" s="100">
        <f>SUMIFS(Roster!$L$5:$L$1504,Roster!$B$5:$B$1504,$A275)</f>
        <v>8</v>
      </c>
      <c r="P275" s="83">
        <f>SUMIFS(Roster!$M$5:$M$1504,Roster!$B$5:$B$1504,$A275)*J275</f>
        <v>81630</v>
      </c>
      <c r="Q275" s="83">
        <f>SUMIFS(Roster!$O$5:$O$1504,Roster!$B$5:$B$1504,$A275)*J275</f>
        <v>122445.00000000001</v>
      </c>
      <c r="R275" s="82">
        <f t="shared" si="30"/>
        <v>122445.00000000001</v>
      </c>
      <c r="S275" s="82">
        <f t="shared" si="31"/>
        <v>0</v>
      </c>
      <c r="T275" s="82">
        <f t="shared" si="32"/>
        <v>-179.99999999998545</v>
      </c>
      <c r="U275" s="82">
        <f t="shared" si="33"/>
        <v>0</v>
      </c>
      <c r="V275" s="83">
        <f>IF(COUNTIFS(Roster!$B$5:$B$1504,$A275,Roster!$G$5:$G$1504,"&gt;0")=0,0,SUMIFS(Roster!$H$5:$H$1504,Roster!$B$5:$B$1504,$A275,Roster!$G$5:$G$1504,_xlfn.MAXIFS(Roster!$G$5:$G$1504,Roster!$B$5:$B$1504,$A275)))</f>
        <v>0</v>
      </c>
      <c r="W275" s="101" t="str">
        <f t="shared" si="34"/>
        <v>Filled</v>
      </c>
    </row>
    <row r="276" spans="1:23" x14ac:dyDescent="0.25">
      <c r="A276" s="76" t="s">
        <v>695</v>
      </c>
      <c r="B276" s="76" t="s">
        <v>355</v>
      </c>
      <c r="C276" s="76" t="s">
        <v>693</v>
      </c>
      <c r="D276" s="97">
        <v>1</v>
      </c>
      <c r="E276" s="98" t="s">
        <v>325</v>
      </c>
      <c r="F276" s="78">
        <v>65000</v>
      </c>
      <c r="G276" s="97">
        <v>1</v>
      </c>
      <c r="H276" s="98" t="s">
        <v>399</v>
      </c>
      <c r="J276" s="99">
        <f>1+Assumptions!$B$11+INDEX(Assumptions!$B$12:$B$15,D276)*Assumptions!$B$16</f>
        <v>1.3</v>
      </c>
      <c r="K276" s="82">
        <f t="shared" si="28"/>
        <v>84500</v>
      </c>
      <c r="L276" s="100">
        <f>IF(E276="Yes",MAX(0,Assumptions!$B$8-G276+1),0)</f>
        <v>8</v>
      </c>
      <c r="M276" s="82">
        <f t="shared" si="29"/>
        <v>56333.333333333336</v>
      </c>
      <c r="N276" s="100">
        <f>MIN(1,SUMIFS(Roster!$N$5:$N$1504,Roster!$B$5:$B$1504,$A276))</f>
        <v>1</v>
      </c>
      <c r="O276" s="100">
        <f>SUMIFS(Roster!$L$5:$L$1504,Roster!$B$5:$B$1504,$A276)</f>
        <v>8</v>
      </c>
      <c r="P276" s="83">
        <f>SUMIFS(Roster!$M$5:$M$1504,Roster!$B$5:$B$1504,$A276)*J276</f>
        <v>56160</v>
      </c>
      <c r="Q276" s="83">
        <f>SUMIFS(Roster!$O$5:$O$1504,Roster!$B$5:$B$1504,$A276)*J276</f>
        <v>84240</v>
      </c>
      <c r="R276" s="82">
        <f t="shared" si="30"/>
        <v>84240</v>
      </c>
      <c r="S276" s="82">
        <f t="shared" si="31"/>
        <v>0</v>
      </c>
      <c r="T276" s="82">
        <f t="shared" si="32"/>
        <v>173.33333333333576</v>
      </c>
      <c r="U276" s="82">
        <f t="shared" si="33"/>
        <v>0</v>
      </c>
      <c r="V276" s="83">
        <f>IF(COUNTIFS(Roster!$B$5:$B$1504,$A276,Roster!$G$5:$G$1504,"&gt;0")=0,0,SUMIFS(Roster!$H$5:$H$1504,Roster!$B$5:$B$1504,$A276,Roster!$G$5:$G$1504,_xlfn.MAXIFS(Roster!$G$5:$G$1504,Roster!$B$5:$B$1504,$A276)))</f>
        <v>0</v>
      </c>
      <c r="W276" s="101" t="str">
        <f t="shared" si="34"/>
        <v>Filled</v>
      </c>
    </row>
    <row r="277" spans="1:23" x14ac:dyDescent="0.25">
      <c r="A277" s="76" t="s">
        <v>696</v>
      </c>
      <c r="B277" s="76" t="s">
        <v>355</v>
      </c>
      <c r="C277" s="76" t="s">
        <v>693</v>
      </c>
      <c r="D277" s="97">
        <v>1</v>
      </c>
      <c r="E277" s="98" t="s">
        <v>325</v>
      </c>
      <c r="F277" s="78">
        <v>60000</v>
      </c>
      <c r="G277" s="97">
        <v>1</v>
      </c>
      <c r="H277" s="98" t="s">
        <v>399</v>
      </c>
      <c r="J277" s="99">
        <f>1+Assumptions!$B$11+INDEX(Assumptions!$B$12:$B$15,D277)*Assumptions!$B$16</f>
        <v>1.3</v>
      </c>
      <c r="K277" s="82">
        <f t="shared" si="28"/>
        <v>78000</v>
      </c>
      <c r="L277" s="100">
        <f>IF(E277="Yes",MAX(0,Assumptions!$B$8-G277+1),0)</f>
        <v>8</v>
      </c>
      <c r="M277" s="82">
        <f t="shared" si="29"/>
        <v>52000</v>
      </c>
      <c r="N277" s="100">
        <f>MIN(1,SUMIFS(Roster!$N$5:$N$1504,Roster!$B$5:$B$1504,$A277))</f>
        <v>1</v>
      </c>
      <c r="O277" s="100">
        <f>SUMIFS(Roster!$L$5:$L$1504,Roster!$B$5:$B$1504,$A277)</f>
        <v>8</v>
      </c>
      <c r="P277" s="83">
        <f>SUMIFS(Roster!$M$5:$M$1504,Roster!$B$5:$B$1504,$A277)*J277</f>
        <v>52346.666666666664</v>
      </c>
      <c r="Q277" s="83">
        <f>SUMIFS(Roster!$O$5:$O$1504,Roster!$B$5:$B$1504,$A277)*J277</f>
        <v>78520</v>
      </c>
      <c r="R277" s="82">
        <f t="shared" si="30"/>
        <v>78520</v>
      </c>
      <c r="S277" s="82">
        <f t="shared" si="31"/>
        <v>0</v>
      </c>
      <c r="T277" s="82">
        <f t="shared" si="32"/>
        <v>-346.66666666666424</v>
      </c>
      <c r="U277" s="82">
        <f t="shared" si="33"/>
        <v>0</v>
      </c>
      <c r="V277" s="83">
        <f>IF(COUNTIFS(Roster!$B$5:$B$1504,$A277,Roster!$G$5:$G$1504,"&gt;0")=0,0,SUMIFS(Roster!$H$5:$H$1504,Roster!$B$5:$B$1504,$A277,Roster!$G$5:$G$1504,_xlfn.MAXIFS(Roster!$G$5:$G$1504,Roster!$B$5:$B$1504,$A277)))</f>
        <v>0</v>
      </c>
      <c r="W277" s="101" t="str">
        <f t="shared" si="34"/>
        <v>Filled</v>
      </c>
    </row>
    <row r="278" spans="1:23" x14ac:dyDescent="0.25">
      <c r="A278" s="76" t="s">
        <v>697</v>
      </c>
      <c r="B278" s="76" t="s">
        <v>355</v>
      </c>
      <c r="C278" s="76" t="s">
        <v>693</v>
      </c>
      <c r="D278" s="97">
        <v>1</v>
      </c>
      <c r="E278" s="98" t="s">
        <v>325</v>
      </c>
      <c r="F278" s="78">
        <v>52000</v>
      </c>
      <c r="G278" s="97">
        <v>1</v>
      </c>
      <c r="H278" s="98" t="s">
        <v>399</v>
      </c>
      <c r="J278" s="99">
        <f>1+Assumptions!$B$11+INDEX(Assumptions!$B$12:$B$15,D278)*Assumptions!$B$16</f>
        <v>1.3</v>
      </c>
      <c r="K278" s="82">
        <f t="shared" si="28"/>
        <v>67600</v>
      </c>
      <c r="L278" s="100">
        <f>IF(E278="Yes",MAX(0,Assumptions!$B$8-G278+1),0)</f>
        <v>8</v>
      </c>
      <c r="M278" s="82">
        <f t="shared" si="29"/>
        <v>45066.666666666664</v>
      </c>
      <c r="N278" s="100">
        <f>MIN(1,SUMIFS(Roster!$N$5:$N$1504,Roster!$B$5:$B$1504,$A278))</f>
        <v>1</v>
      </c>
      <c r="O278" s="100">
        <f>SUMIFS(Roster!$L$5:$L$1504,Roster!$B$5:$B$1504,$A278)</f>
        <v>8</v>
      </c>
      <c r="P278" s="83">
        <f>SUMIFS(Roster!$M$5:$M$1504,Roster!$B$5:$B$1504,$A278)*J278</f>
        <v>44633.333333333336</v>
      </c>
      <c r="Q278" s="83">
        <f>SUMIFS(Roster!$O$5:$O$1504,Roster!$B$5:$B$1504,$A278)*J278</f>
        <v>66950</v>
      </c>
      <c r="R278" s="82">
        <f t="shared" si="30"/>
        <v>66950</v>
      </c>
      <c r="S278" s="82">
        <f t="shared" si="31"/>
        <v>0</v>
      </c>
      <c r="T278" s="82">
        <f t="shared" si="32"/>
        <v>433.33333333332848</v>
      </c>
      <c r="U278" s="82">
        <f t="shared" si="33"/>
        <v>0</v>
      </c>
      <c r="V278" s="83">
        <f>IF(COUNTIFS(Roster!$B$5:$B$1504,$A278,Roster!$G$5:$G$1504,"&gt;0")=0,0,SUMIFS(Roster!$H$5:$H$1504,Roster!$B$5:$B$1504,$A278,Roster!$G$5:$G$1504,_xlfn.MAXIFS(Roster!$G$5:$G$1504,Roster!$B$5:$B$1504,$A278)))</f>
        <v>0</v>
      </c>
      <c r="W278" s="101" t="str">
        <f t="shared" si="34"/>
        <v>Filled</v>
      </c>
    </row>
    <row r="279" spans="1:23" x14ac:dyDescent="0.25">
      <c r="A279" s="76" t="s">
        <v>698</v>
      </c>
      <c r="B279" s="76" t="s">
        <v>355</v>
      </c>
      <c r="C279" s="76" t="s">
        <v>693</v>
      </c>
      <c r="D279" s="97">
        <v>1</v>
      </c>
      <c r="E279" s="98" t="s">
        <v>325</v>
      </c>
      <c r="F279" s="78">
        <v>61500</v>
      </c>
      <c r="G279" s="97">
        <v>1</v>
      </c>
      <c r="H279" s="98" t="s">
        <v>399</v>
      </c>
      <c r="J279" s="99">
        <f>1+Assumptions!$B$11+INDEX(Assumptions!$B$12:$B$15,D279)*Assumptions!$B$16</f>
        <v>1.3</v>
      </c>
      <c r="K279" s="82">
        <f t="shared" si="28"/>
        <v>79950</v>
      </c>
      <c r="L279" s="100">
        <f>IF(E279="Yes",MAX(0,Assumptions!$B$8-G279+1),0)</f>
        <v>8</v>
      </c>
      <c r="M279" s="82">
        <f t="shared" si="29"/>
        <v>53300</v>
      </c>
      <c r="N279" s="100">
        <f>MIN(1,SUMIFS(Roster!$N$5:$N$1504,Roster!$B$5:$B$1504,$A279))</f>
        <v>1</v>
      </c>
      <c r="O279" s="100">
        <f>SUMIFS(Roster!$L$5:$L$1504,Roster!$B$5:$B$1504,$A279)</f>
        <v>8</v>
      </c>
      <c r="P279" s="83">
        <f>SUMIFS(Roster!$M$5:$M$1504,Roster!$B$5:$B$1504,$A279)*J279</f>
        <v>53820</v>
      </c>
      <c r="Q279" s="83">
        <f>SUMIFS(Roster!$O$5:$O$1504,Roster!$B$5:$B$1504,$A279)*J279</f>
        <v>80730</v>
      </c>
      <c r="R279" s="82">
        <f t="shared" si="30"/>
        <v>80730</v>
      </c>
      <c r="S279" s="82">
        <f t="shared" si="31"/>
        <v>0</v>
      </c>
      <c r="T279" s="82">
        <f t="shared" si="32"/>
        <v>-520</v>
      </c>
      <c r="U279" s="82">
        <f t="shared" si="33"/>
        <v>0</v>
      </c>
      <c r="V279" s="83">
        <f>IF(COUNTIFS(Roster!$B$5:$B$1504,$A279,Roster!$G$5:$G$1504,"&gt;0")=0,0,SUMIFS(Roster!$H$5:$H$1504,Roster!$B$5:$B$1504,$A279,Roster!$G$5:$G$1504,_xlfn.MAXIFS(Roster!$G$5:$G$1504,Roster!$B$5:$B$1504,$A279)))</f>
        <v>0</v>
      </c>
      <c r="W279" s="101" t="str">
        <f t="shared" si="34"/>
        <v>Filled</v>
      </c>
    </row>
    <row r="280" spans="1:23" x14ac:dyDescent="0.25">
      <c r="A280" s="76" t="s">
        <v>699</v>
      </c>
      <c r="B280" s="76" t="s">
        <v>355</v>
      </c>
      <c r="C280" s="76" t="s">
        <v>691</v>
      </c>
      <c r="D280" s="97">
        <v>2</v>
      </c>
      <c r="E280" s="98" t="s">
        <v>325</v>
      </c>
      <c r="F280" s="78">
        <v>79500</v>
      </c>
      <c r="G280" s="97">
        <v>1</v>
      </c>
      <c r="H280" s="98" t="s">
        <v>399</v>
      </c>
      <c r="J280" s="99">
        <f>1+Assumptions!$B$11+INDEX(Assumptions!$B$12:$B$15,D280)*Assumptions!$B$16</f>
        <v>1.35</v>
      </c>
      <c r="K280" s="82">
        <f t="shared" si="28"/>
        <v>107325</v>
      </c>
      <c r="L280" s="100">
        <f>IF(E280="Yes",MAX(0,Assumptions!$B$8-G280+1),0)</f>
        <v>8</v>
      </c>
      <c r="M280" s="82">
        <f t="shared" si="29"/>
        <v>71550</v>
      </c>
      <c r="N280" s="100">
        <f>MIN(1,SUMIFS(Roster!$N$5:$N$1504,Roster!$B$5:$B$1504,$A280))</f>
        <v>1</v>
      </c>
      <c r="O280" s="100">
        <f>SUMIFS(Roster!$L$5:$L$1504,Roster!$B$5:$B$1504,$A280)</f>
        <v>8</v>
      </c>
      <c r="P280" s="83">
        <f>SUMIFS(Roster!$M$5:$M$1504,Roster!$B$5:$B$1504,$A280)*J280</f>
        <v>72000.000000000015</v>
      </c>
      <c r="Q280" s="83">
        <f>SUMIFS(Roster!$O$5:$O$1504,Roster!$B$5:$B$1504,$A280)*J280</f>
        <v>108000</v>
      </c>
      <c r="R280" s="82">
        <f t="shared" si="30"/>
        <v>108000</v>
      </c>
      <c r="S280" s="82">
        <f t="shared" si="31"/>
        <v>0</v>
      </c>
      <c r="T280" s="82">
        <f t="shared" si="32"/>
        <v>-450.00000000001455</v>
      </c>
      <c r="U280" s="82">
        <f t="shared" si="33"/>
        <v>0</v>
      </c>
      <c r="V280" s="83">
        <f>IF(COUNTIFS(Roster!$B$5:$B$1504,$A280,Roster!$G$5:$G$1504,"&gt;0")=0,0,SUMIFS(Roster!$H$5:$H$1504,Roster!$B$5:$B$1504,$A280,Roster!$G$5:$G$1504,_xlfn.MAXIFS(Roster!$G$5:$G$1504,Roster!$B$5:$B$1504,$A280)))</f>
        <v>0</v>
      </c>
      <c r="W280" s="101" t="str">
        <f t="shared" si="34"/>
        <v>Filled</v>
      </c>
    </row>
    <row r="281" spans="1:23" x14ac:dyDescent="0.25">
      <c r="A281" s="76" t="s">
        <v>700</v>
      </c>
      <c r="B281" s="76" t="s">
        <v>355</v>
      </c>
      <c r="C281" s="76" t="s">
        <v>693</v>
      </c>
      <c r="D281" s="97">
        <v>1</v>
      </c>
      <c r="E281" s="98" t="s">
        <v>325</v>
      </c>
      <c r="F281" s="78">
        <v>64000</v>
      </c>
      <c r="G281" s="97">
        <v>1</v>
      </c>
      <c r="H281" s="98" t="s">
        <v>399</v>
      </c>
      <c r="J281" s="99">
        <f>1+Assumptions!$B$11+INDEX(Assumptions!$B$12:$B$15,D281)*Assumptions!$B$16</f>
        <v>1.3</v>
      </c>
      <c r="K281" s="82">
        <f t="shared" si="28"/>
        <v>83200</v>
      </c>
      <c r="L281" s="100">
        <f>IF(E281="Yes",MAX(0,Assumptions!$B$8-G281+1),0)</f>
        <v>8</v>
      </c>
      <c r="M281" s="82">
        <f t="shared" si="29"/>
        <v>55466.666666666664</v>
      </c>
      <c r="N281" s="100">
        <f>MIN(1,SUMIFS(Roster!$N$5:$N$1504,Roster!$B$5:$B$1504,$A281))</f>
        <v>1</v>
      </c>
      <c r="O281" s="100">
        <f>SUMIFS(Roster!$L$5:$L$1504,Roster!$B$5:$B$1504,$A281)</f>
        <v>8</v>
      </c>
      <c r="P281" s="83">
        <f>SUMIFS(Roster!$M$5:$M$1504,Roster!$B$5:$B$1504,$A281)*J281</f>
        <v>55640</v>
      </c>
      <c r="Q281" s="83">
        <f>SUMIFS(Roster!$O$5:$O$1504,Roster!$B$5:$B$1504,$A281)*J281</f>
        <v>83460</v>
      </c>
      <c r="R281" s="82">
        <f t="shared" si="30"/>
        <v>83460</v>
      </c>
      <c r="S281" s="82">
        <f t="shared" si="31"/>
        <v>0</v>
      </c>
      <c r="T281" s="82">
        <f t="shared" si="32"/>
        <v>-173.33333333333576</v>
      </c>
      <c r="U281" s="82">
        <f t="shared" si="33"/>
        <v>0</v>
      </c>
      <c r="V281" s="83">
        <f>IF(COUNTIFS(Roster!$B$5:$B$1504,$A281,Roster!$G$5:$G$1504,"&gt;0")=0,0,SUMIFS(Roster!$H$5:$H$1504,Roster!$B$5:$B$1504,$A281,Roster!$G$5:$G$1504,_xlfn.MAXIFS(Roster!$G$5:$G$1504,Roster!$B$5:$B$1504,$A281)))</f>
        <v>0</v>
      </c>
      <c r="W281" s="101" t="str">
        <f t="shared" si="34"/>
        <v>Filled</v>
      </c>
    </row>
    <row r="282" spans="1:23" x14ac:dyDescent="0.25">
      <c r="A282" s="76" t="s">
        <v>701</v>
      </c>
      <c r="B282" s="76" t="s">
        <v>355</v>
      </c>
      <c r="C282" s="76" t="s">
        <v>702</v>
      </c>
      <c r="D282" s="97">
        <v>3</v>
      </c>
      <c r="E282" s="98" t="s">
        <v>325</v>
      </c>
      <c r="F282" s="78">
        <v>126500</v>
      </c>
      <c r="G282" s="97">
        <v>1</v>
      </c>
      <c r="H282" s="98" t="s">
        <v>399</v>
      </c>
      <c r="J282" s="99">
        <f>1+Assumptions!$B$11+INDEX(Assumptions!$B$12:$B$15,D282)*Assumptions!$B$16</f>
        <v>1.4</v>
      </c>
      <c r="K282" s="82">
        <f t="shared" si="28"/>
        <v>177100</v>
      </c>
      <c r="L282" s="100">
        <f>IF(E282="Yes",MAX(0,Assumptions!$B$8-G282+1),0)</f>
        <v>8</v>
      </c>
      <c r="M282" s="82">
        <f t="shared" si="29"/>
        <v>118066.66666666667</v>
      </c>
      <c r="N282" s="100">
        <f>MIN(1,SUMIFS(Roster!$N$5:$N$1504,Roster!$B$5:$B$1504,$A282))</f>
        <v>1</v>
      </c>
      <c r="O282" s="100">
        <f>SUMIFS(Roster!$L$5:$L$1504,Roster!$B$5:$B$1504,$A282)</f>
        <v>8</v>
      </c>
      <c r="P282" s="83">
        <f>SUMIFS(Roster!$M$5:$M$1504,Roster!$B$5:$B$1504,$A282)*J282</f>
        <v>119186.66666666666</v>
      </c>
      <c r="Q282" s="83">
        <f>SUMIFS(Roster!$O$5:$O$1504,Roster!$B$5:$B$1504,$A282)*J282</f>
        <v>178780</v>
      </c>
      <c r="R282" s="82">
        <f t="shared" si="30"/>
        <v>178780</v>
      </c>
      <c r="S282" s="82">
        <f t="shared" si="31"/>
        <v>0</v>
      </c>
      <c r="T282" s="82">
        <f t="shared" si="32"/>
        <v>-1119.9999999999854</v>
      </c>
      <c r="U282" s="82">
        <f t="shared" si="33"/>
        <v>0</v>
      </c>
      <c r="V282" s="83">
        <f>IF(COUNTIFS(Roster!$B$5:$B$1504,$A282,Roster!$G$5:$G$1504,"&gt;0")=0,0,SUMIFS(Roster!$H$5:$H$1504,Roster!$B$5:$B$1504,$A282,Roster!$G$5:$G$1504,_xlfn.MAXIFS(Roster!$G$5:$G$1504,Roster!$B$5:$B$1504,$A282)))</f>
        <v>0</v>
      </c>
      <c r="W282" s="101" t="str">
        <f t="shared" si="34"/>
        <v>Filled</v>
      </c>
    </row>
    <row r="283" spans="1:23" x14ac:dyDescent="0.25">
      <c r="A283" s="76" t="s">
        <v>703</v>
      </c>
      <c r="B283" s="76" t="s">
        <v>355</v>
      </c>
      <c r="C283" s="76" t="s">
        <v>693</v>
      </c>
      <c r="D283" s="97">
        <v>1</v>
      </c>
      <c r="E283" s="98" t="s">
        <v>325</v>
      </c>
      <c r="F283" s="78">
        <v>53000</v>
      </c>
      <c r="G283" s="97">
        <v>1</v>
      </c>
      <c r="H283" s="98" t="s">
        <v>399</v>
      </c>
      <c r="J283" s="99">
        <f>1+Assumptions!$B$11+INDEX(Assumptions!$B$12:$B$15,D283)*Assumptions!$B$16</f>
        <v>1.3</v>
      </c>
      <c r="K283" s="82">
        <f t="shared" si="28"/>
        <v>68900</v>
      </c>
      <c r="L283" s="100">
        <f>IF(E283="Yes",MAX(0,Assumptions!$B$8-G283+1),0)</f>
        <v>8</v>
      </c>
      <c r="M283" s="82">
        <f t="shared" si="29"/>
        <v>45933.333333333336</v>
      </c>
      <c r="N283" s="100">
        <f>MIN(1,SUMIFS(Roster!$N$5:$N$1504,Roster!$B$5:$B$1504,$A283))</f>
        <v>1</v>
      </c>
      <c r="O283" s="100">
        <f>SUMIFS(Roster!$L$5:$L$1504,Roster!$B$5:$B$1504,$A283)</f>
        <v>8</v>
      </c>
      <c r="P283" s="83">
        <f>SUMIFS(Roster!$M$5:$M$1504,Roster!$B$5:$B$1504,$A283)*J283</f>
        <v>46540</v>
      </c>
      <c r="Q283" s="83">
        <f>SUMIFS(Roster!$O$5:$O$1504,Roster!$B$5:$B$1504,$A283)*J283</f>
        <v>69810</v>
      </c>
      <c r="R283" s="82">
        <f t="shared" si="30"/>
        <v>69810</v>
      </c>
      <c r="S283" s="82">
        <f t="shared" si="31"/>
        <v>0</v>
      </c>
      <c r="T283" s="82">
        <f t="shared" si="32"/>
        <v>-606.66666666666424</v>
      </c>
      <c r="U283" s="82">
        <f t="shared" si="33"/>
        <v>0</v>
      </c>
      <c r="V283" s="83">
        <f>IF(COUNTIFS(Roster!$B$5:$B$1504,$A283,Roster!$G$5:$G$1504,"&gt;0")=0,0,SUMIFS(Roster!$H$5:$H$1504,Roster!$B$5:$B$1504,$A283,Roster!$G$5:$G$1504,_xlfn.MAXIFS(Roster!$G$5:$G$1504,Roster!$B$5:$B$1504,$A283)))</f>
        <v>0</v>
      </c>
      <c r="W283" s="101" t="str">
        <f t="shared" si="34"/>
        <v>Filled</v>
      </c>
    </row>
    <row r="284" spans="1:23" x14ac:dyDescent="0.25">
      <c r="A284" s="76" t="s">
        <v>704</v>
      </c>
      <c r="B284" s="76" t="s">
        <v>355</v>
      </c>
      <c r="C284" s="76" t="s">
        <v>705</v>
      </c>
      <c r="D284" s="97">
        <v>2</v>
      </c>
      <c r="E284" s="98" t="s">
        <v>325</v>
      </c>
      <c r="F284" s="78">
        <v>76500</v>
      </c>
      <c r="G284" s="97">
        <v>1</v>
      </c>
      <c r="H284" s="98" t="s">
        <v>399</v>
      </c>
      <c r="J284" s="99">
        <f>1+Assumptions!$B$11+INDEX(Assumptions!$B$12:$B$15,D284)*Assumptions!$B$16</f>
        <v>1.35</v>
      </c>
      <c r="K284" s="82">
        <f t="shared" si="28"/>
        <v>103275</v>
      </c>
      <c r="L284" s="100">
        <f>IF(E284="Yes",MAX(0,Assumptions!$B$8-G284+1),0)</f>
        <v>8</v>
      </c>
      <c r="M284" s="82">
        <f t="shared" si="29"/>
        <v>68850</v>
      </c>
      <c r="N284" s="100">
        <f>MIN(1,SUMIFS(Roster!$N$5:$N$1504,Roster!$B$5:$B$1504,$A284))</f>
        <v>1</v>
      </c>
      <c r="O284" s="100">
        <f>SUMIFS(Roster!$L$5:$L$1504,Roster!$B$5:$B$1504,$A284)</f>
        <v>8</v>
      </c>
      <c r="P284" s="83">
        <f>SUMIFS(Roster!$M$5:$M$1504,Roster!$B$5:$B$1504,$A284)*J284</f>
        <v>69300.000000000015</v>
      </c>
      <c r="Q284" s="83">
        <f>SUMIFS(Roster!$O$5:$O$1504,Roster!$B$5:$B$1504,$A284)*J284</f>
        <v>103950</v>
      </c>
      <c r="R284" s="82">
        <f t="shared" si="30"/>
        <v>103950</v>
      </c>
      <c r="S284" s="82">
        <f t="shared" si="31"/>
        <v>0</v>
      </c>
      <c r="T284" s="82">
        <f t="shared" si="32"/>
        <v>-450.00000000001455</v>
      </c>
      <c r="U284" s="82">
        <f t="shared" si="33"/>
        <v>0</v>
      </c>
      <c r="V284" s="83">
        <f>IF(COUNTIFS(Roster!$B$5:$B$1504,$A284,Roster!$G$5:$G$1504,"&gt;0")=0,0,SUMIFS(Roster!$H$5:$H$1504,Roster!$B$5:$B$1504,$A284,Roster!$G$5:$G$1504,_xlfn.MAXIFS(Roster!$G$5:$G$1504,Roster!$B$5:$B$1504,$A284)))</f>
        <v>0</v>
      </c>
      <c r="W284" s="101" t="str">
        <f t="shared" si="34"/>
        <v>Filled</v>
      </c>
    </row>
    <row r="285" spans="1:23" x14ac:dyDescent="0.25">
      <c r="A285" s="76" t="s">
        <v>706</v>
      </c>
      <c r="B285" s="76" t="s">
        <v>355</v>
      </c>
      <c r="C285" s="76" t="s">
        <v>691</v>
      </c>
      <c r="D285" s="97">
        <v>2</v>
      </c>
      <c r="E285" s="98" t="s">
        <v>325</v>
      </c>
      <c r="F285" s="78">
        <v>81000</v>
      </c>
      <c r="G285" s="97">
        <v>1</v>
      </c>
      <c r="H285" s="98" t="s">
        <v>399</v>
      </c>
      <c r="J285" s="99">
        <f>1+Assumptions!$B$11+INDEX(Assumptions!$B$12:$B$15,D285)*Assumptions!$B$16</f>
        <v>1.35</v>
      </c>
      <c r="K285" s="82">
        <f t="shared" si="28"/>
        <v>109350</v>
      </c>
      <c r="L285" s="100">
        <f>IF(E285="Yes",MAX(0,Assumptions!$B$8-G285+1),0)</f>
        <v>8</v>
      </c>
      <c r="M285" s="82">
        <f t="shared" si="29"/>
        <v>72900</v>
      </c>
      <c r="N285" s="100">
        <f>MIN(1,SUMIFS(Roster!$N$5:$N$1504,Roster!$B$5:$B$1504,$A285))</f>
        <v>1</v>
      </c>
      <c r="O285" s="100">
        <f>SUMIFS(Roster!$L$5:$L$1504,Roster!$B$5:$B$1504,$A285)</f>
        <v>8</v>
      </c>
      <c r="P285" s="83">
        <f>SUMIFS(Roster!$M$5:$M$1504,Roster!$B$5:$B$1504,$A285)*J285</f>
        <v>73530</v>
      </c>
      <c r="Q285" s="83">
        <f>SUMIFS(Roster!$O$5:$O$1504,Roster!$B$5:$B$1504,$A285)*J285</f>
        <v>110295</v>
      </c>
      <c r="R285" s="82">
        <f t="shared" si="30"/>
        <v>110295</v>
      </c>
      <c r="S285" s="82">
        <f t="shared" si="31"/>
        <v>0</v>
      </c>
      <c r="T285" s="82">
        <f t="shared" si="32"/>
        <v>-630</v>
      </c>
      <c r="U285" s="82">
        <f t="shared" si="33"/>
        <v>0</v>
      </c>
      <c r="V285" s="83">
        <f>IF(COUNTIFS(Roster!$B$5:$B$1504,$A285,Roster!$G$5:$G$1504,"&gt;0")=0,0,SUMIFS(Roster!$H$5:$H$1504,Roster!$B$5:$B$1504,$A285,Roster!$G$5:$G$1504,_xlfn.MAXIFS(Roster!$G$5:$G$1504,Roster!$B$5:$B$1504,$A285)))</f>
        <v>0</v>
      </c>
      <c r="W285" s="101" t="str">
        <f t="shared" si="34"/>
        <v>Filled</v>
      </c>
    </row>
    <row r="286" spans="1:23" x14ac:dyDescent="0.25">
      <c r="A286" s="76" t="s">
        <v>707</v>
      </c>
      <c r="B286" s="76" t="s">
        <v>355</v>
      </c>
      <c r="C286" s="76" t="s">
        <v>693</v>
      </c>
      <c r="D286" s="97">
        <v>1</v>
      </c>
      <c r="E286" s="98" t="s">
        <v>325</v>
      </c>
      <c r="F286" s="78">
        <v>62500</v>
      </c>
      <c r="G286" s="97">
        <v>1</v>
      </c>
      <c r="H286" s="98" t="s">
        <v>399</v>
      </c>
      <c r="J286" s="99">
        <f>1+Assumptions!$B$11+INDEX(Assumptions!$B$12:$B$15,D286)*Assumptions!$B$16</f>
        <v>1.3</v>
      </c>
      <c r="K286" s="82">
        <f t="shared" si="28"/>
        <v>81250</v>
      </c>
      <c r="L286" s="100">
        <f>IF(E286="Yes",MAX(0,Assumptions!$B$8-G286+1),0)</f>
        <v>8</v>
      </c>
      <c r="M286" s="82">
        <f t="shared" si="29"/>
        <v>54166.666666666664</v>
      </c>
      <c r="N286" s="100">
        <f>MIN(1,SUMIFS(Roster!$N$5:$N$1504,Roster!$B$5:$B$1504,$A286))</f>
        <v>1</v>
      </c>
      <c r="O286" s="100">
        <f>SUMIFS(Roster!$L$5:$L$1504,Roster!$B$5:$B$1504,$A286)</f>
        <v>8</v>
      </c>
      <c r="P286" s="83">
        <f>SUMIFS(Roster!$M$5:$M$1504,Roster!$B$5:$B$1504,$A286)*J286</f>
        <v>54080</v>
      </c>
      <c r="Q286" s="83">
        <f>SUMIFS(Roster!$O$5:$O$1504,Roster!$B$5:$B$1504,$A286)*J286</f>
        <v>81120</v>
      </c>
      <c r="R286" s="82">
        <f t="shared" si="30"/>
        <v>81120</v>
      </c>
      <c r="S286" s="82">
        <f t="shared" si="31"/>
        <v>0</v>
      </c>
      <c r="T286" s="82">
        <f t="shared" si="32"/>
        <v>86.666666666664241</v>
      </c>
      <c r="U286" s="82">
        <f t="shared" si="33"/>
        <v>0</v>
      </c>
      <c r="V286" s="83">
        <f>IF(COUNTIFS(Roster!$B$5:$B$1504,$A286,Roster!$G$5:$G$1504,"&gt;0")=0,0,SUMIFS(Roster!$H$5:$H$1504,Roster!$B$5:$B$1504,$A286,Roster!$G$5:$G$1504,_xlfn.MAXIFS(Roster!$G$5:$G$1504,Roster!$B$5:$B$1504,$A286)))</f>
        <v>0</v>
      </c>
      <c r="W286" s="101" t="str">
        <f t="shared" si="34"/>
        <v>Filled</v>
      </c>
    </row>
    <row r="287" spans="1:23" x14ac:dyDescent="0.25">
      <c r="A287" s="76" t="s">
        <v>708</v>
      </c>
      <c r="B287" s="76" t="s">
        <v>355</v>
      </c>
      <c r="C287" s="76" t="s">
        <v>693</v>
      </c>
      <c r="D287" s="97">
        <v>1</v>
      </c>
      <c r="E287" s="98" t="s">
        <v>325</v>
      </c>
      <c r="F287" s="78">
        <v>58500</v>
      </c>
      <c r="G287" s="97">
        <v>1</v>
      </c>
      <c r="H287" s="98" t="s">
        <v>399</v>
      </c>
      <c r="J287" s="99">
        <f>1+Assumptions!$B$11+INDEX(Assumptions!$B$12:$B$15,D287)*Assumptions!$B$16</f>
        <v>1.3</v>
      </c>
      <c r="K287" s="82">
        <f t="shared" si="28"/>
        <v>76050</v>
      </c>
      <c r="L287" s="100">
        <f>IF(E287="Yes",MAX(0,Assumptions!$B$8-G287+1),0)</f>
        <v>8</v>
      </c>
      <c r="M287" s="82">
        <f t="shared" si="29"/>
        <v>50700</v>
      </c>
      <c r="N287" s="100">
        <f>MIN(1,SUMIFS(Roster!$N$5:$N$1504,Roster!$B$5:$B$1504,$A287))</f>
        <v>1</v>
      </c>
      <c r="O287" s="100">
        <f>SUMIFS(Roster!$L$5:$L$1504,Roster!$B$5:$B$1504,$A287)</f>
        <v>8</v>
      </c>
      <c r="P287" s="83">
        <f>SUMIFS(Roster!$M$5:$M$1504,Roster!$B$5:$B$1504,$A287)*J287</f>
        <v>50873.333333333336</v>
      </c>
      <c r="Q287" s="83">
        <f>SUMIFS(Roster!$O$5:$O$1504,Roster!$B$5:$B$1504,$A287)*J287</f>
        <v>76310</v>
      </c>
      <c r="R287" s="82">
        <f t="shared" si="30"/>
        <v>76310</v>
      </c>
      <c r="S287" s="82">
        <f t="shared" si="31"/>
        <v>0</v>
      </c>
      <c r="T287" s="82">
        <f t="shared" si="32"/>
        <v>-173.33333333333576</v>
      </c>
      <c r="U287" s="82">
        <f t="shared" si="33"/>
        <v>0</v>
      </c>
      <c r="V287" s="83">
        <f>IF(COUNTIFS(Roster!$B$5:$B$1504,$A287,Roster!$G$5:$G$1504,"&gt;0")=0,0,SUMIFS(Roster!$H$5:$H$1504,Roster!$B$5:$B$1504,$A287,Roster!$G$5:$G$1504,_xlfn.MAXIFS(Roster!$G$5:$G$1504,Roster!$B$5:$B$1504,$A287)))</f>
        <v>0</v>
      </c>
      <c r="W287" s="101" t="str">
        <f t="shared" si="34"/>
        <v>Filled</v>
      </c>
    </row>
    <row r="288" spans="1:23" x14ac:dyDescent="0.25">
      <c r="A288" s="76" t="s">
        <v>709</v>
      </c>
      <c r="B288" s="76" t="s">
        <v>355</v>
      </c>
      <c r="C288" s="76" t="s">
        <v>702</v>
      </c>
      <c r="D288" s="97">
        <v>3</v>
      </c>
      <c r="E288" s="98" t="s">
        <v>325</v>
      </c>
      <c r="F288" s="78">
        <v>100500</v>
      </c>
      <c r="G288" s="97">
        <v>1</v>
      </c>
      <c r="H288" s="98" t="s">
        <v>399</v>
      </c>
      <c r="J288" s="99">
        <f>1+Assumptions!$B$11+INDEX(Assumptions!$B$12:$B$15,D288)*Assumptions!$B$16</f>
        <v>1.4</v>
      </c>
      <c r="K288" s="82">
        <f t="shared" si="28"/>
        <v>140700</v>
      </c>
      <c r="L288" s="100">
        <f>IF(E288="Yes",MAX(0,Assumptions!$B$8-G288+1),0)</f>
        <v>8</v>
      </c>
      <c r="M288" s="82">
        <f t="shared" si="29"/>
        <v>93800</v>
      </c>
      <c r="N288" s="100">
        <f>MIN(1,SUMIFS(Roster!$N$5:$N$1504,Roster!$B$5:$B$1504,$A288))</f>
        <v>1</v>
      </c>
      <c r="O288" s="100">
        <f>SUMIFS(Roster!$L$5:$L$1504,Roster!$B$5:$B$1504,$A288)</f>
        <v>8</v>
      </c>
      <c r="P288" s="83">
        <f>SUMIFS(Roster!$M$5:$M$1504,Roster!$B$5:$B$1504,$A288)*J288</f>
        <v>94640</v>
      </c>
      <c r="Q288" s="83">
        <f>SUMIFS(Roster!$O$5:$O$1504,Roster!$B$5:$B$1504,$A288)*J288</f>
        <v>141960</v>
      </c>
      <c r="R288" s="82">
        <f t="shared" si="30"/>
        <v>141960</v>
      </c>
      <c r="S288" s="82">
        <f t="shared" si="31"/>
        <v>0</v>
      </c>
      <c r="T288" s="82">
        <f t="shared" si="32"/>
        <v>-840</v>
      </c>
      <c r="U288" s="82">
        <f t="shared" si="33"/>
        <v>0</v>
      </c>
      <c r="V288" s="83">
        <f>IF(COUNTIFS(Roster!$B$5:$B$1504,$A288,Roster!$G$5:$G$1504,"&gt;0")=0,0,SUMIFS(Roster!$H$5:$H$1504,Roster!$B$5:$B$1504,$A288,Roster!$G$5:$G$1504,_xlfn.MAXIFS(Roster!$G$5:$G$1504,Roster!$B$5:$B$1504,$A288)))</f>
        <v>0</v>
      </c>
      <c r="W288" s="101" t="str">
        <f t="shared" si="34"/>
        <v>Filled</v>
      </c>
    </row>
    <row r="289" spans="1:23" x14ac:dyDescent="0.25">
      <c r="A289" s="76" t="s">
        <v>710</v>
      </c>
      <c r="B289" s="76" t="s">
        <v>355</v>
      </c>
      <c r="C289" s="76" t="s">
        <v>693</v>
      </c>
      <c r="D289" s="97">
        <v>1</v>
      </c>
      <c r="E289" s="98" t="s">
        <v>325</v>
      </c>
      <c r="F289" s="78">
        <v>61000</v>
      </c>
      <c r="G289" s="97">
        <v>1</v>
      </c>
      <c r="H289" s="98" t="s">
        <v>399</v>
      </c>
      <c r="J289" s="99">
        <f>1+Assumptions!$B$11+INDEX(Assumptions!$B$12:$B$15,D289)*Assumptions!$B$16</f>
        <v>1.3</v>
      </c>
      <c r="K289" s="82">
        <f t="shared" si="28"/>
        <v>79300</v>
      </c>
      <c r="L289" s="100">
        <f>IF(E289="Yes",MAX(0,Assumptions!$B$8-G289+1),0)</f>
        <v>8</v>
      </c>
      <c r="M289" s="82">
        <f t="shared" si="29"/>
        <v>52866.666666666664</v>
      </c>
      <c r="N289" s="100">
        <f>MIN(1,SUMIFS(Roster!$N$5:$N$1504,Roster!$B$5:$B$1504,$A289))</f>
        <v>1</v>
      </c>
      <c r="O289" s="100">
        <f>SUMIFS(Roster!$L$5:$L$1504,Roster!$B$5:$B$1504,$A289)</f>
        <v>8</v>
      </c>
      <c r="P289" s="83">
        <f>SUMIFS(Roster!$M$5:$M$1504,Roster!$B$5:$B$1504,$A289)*J289</f>
        <v>53560</v>
      </c>
      <c r="Q289" s="83">
        <f>SUMIFS(Roster!$O$5:$O$1504,Roster!$B$5:$B$1504,$A289)*J289</f>
        <v>80340</v>
      </c>
      <c r="R289" s="82">
        <f t="shared" si="30"/>
        <v>80340</v>
      </c>
      <c r="S289" s="82">
        <f t="shared" si="31"/>
        <v>0</v>
      </c>
      <c r="T289" s="82">
        <f t="shared" si="32"/>
        <v>-693.33333333333576</v>
      </c>
      <c r="U289" s="82">
        <f t="shared" si="33"/>
        <v>0</v>
      </c>
      <c r="V289" s="83">
        <f>IF(COUNTIFS(Roster!$B$5:$B$1504,$A289,Roster!$G$5:$G$1504,"&gt;0")=0,0,SUMIFS(Roster!$H$5:$H$1504,Roster!$B$5:$B$1504,$A289,Roster!$G$5:$G$1504,_xlfn.MAXIFS(Roster!$G$5:$G$1504,Roster!$B$5:$B$1504,$A289)))</f>
        <v>0</v>
      </c>
      <c r="W289" s="101" t="str">
        <f t="shared" si="34"/>
        <v>Filled</v>
      </c>
    </row>
    <row r="290" spans="1:23" x14ac:dyDescent="0.25">
      <c r="A290" s="76" t="s">
        <v>711</v>
      </c>
      <c r="B290" s="76" t="s">
        <v>355</v>
      </c>
      <c r="C290" s="76" t="s">
        <v>693</v>
      </c>
      <c r="D290" s="97">
        <v>1</v>
      </c>
      <c r="E290" s="98" t="s">
        <v>325</v>
      </c>
      <c r="F290" s="78">
        <v>54500</v>
      </c>
      <c r="G290" s="97">
        <v>1</v>
      </c>
      <c r="H290" s="98" t="s">
        <v>399</v>
      </c>
      <c r="J290" s="99">
        <f>1+Assumptions!$B$11+INDEX(Assumptions!$B$12:$B$15,D290)*Assumptions!$B$16</f>
        <v>1.3</v>
      </c>
      <c r="K290" s="82">
        <f t="shared" si="28"/>
        <v>70850</v>
      </c>
      <c r="L290" s="100">
        <f>IF(E290="Yes",MAX(0,Assumptions!$B$8-G290+1),0)</f>
        <v>8</v>
      </c>
      <c r="M290" s="82">
        <f t="shared" si="29"/>
        <v>47233.333333333336</v>
      </c>
      <c r="N290" s="100">
        <f>MIN(1,SUMIFS(Roster!$N$5:$N$1504,Roster!$B$5:$B$1504,$A290))</f>
        <v>1</v>
      </c>
      <c r="O290" s="100">
        <f>SUMIFS(Roster!$L$5:$L$1504,Roster!$B$5:$B$1504,$A290)</f>
        <v>8</v>
      </c>
      <c r="P290" s="83">
        <f>SUMIFS(Roster!$M$5:$M$1504,Roster!$B$5:$B$1504,$A290)*J290</f>
        <v>47666.666666666664</v>
      </c>
      <c r="Q290" s="83">
        <f>SUMIFS(Roster!$O$5:$O$1504,Roster!$B$5:$B$1504,$A290)*J290</f>
        <v>71500</v>
      </c>
      <c r="R290" s="82">
        <f t="shared" si="30"/>
        <v>71500</v>
      </c>
      <c r="S290" s="82">
        <f t="shared" si="31"/>
        <v>0</v>
      </c>
      <c r="T290" s="82">
        <f t="shared" si="32"/>
        <v>-433.33333333332848</v>
      </c>
      <c r="U290" s="82">
        <f t="shared" si="33"/>
        <v>0</v>
      </c>
      <c r="V290" s="83">
        <f>IF(COUNTIFS(Roster!$B$5:$B$1504,$A290,Roster!$G$5:$G$1504,"&gt;0")=0,0,SUMIFS(Roster!$H$5:$H$1504,Roster!$B$5:$B$1504,$A290,Roster!$G$5:$G$1504,_xlfn.MAXIFS(Roster!$G$5:$G$1504,Roster!$B$5:$B$1504,$A290)))</f>
        <v>0</v>
      </c>
      <c r="W290" s="101" t="str">
        <f t="shared" si="34"/>
        <v>Filled</v>
      </c>
    </row>
    <row r="291" spans="1:23" x14ac:dyDescent="0.25">
      <c r="A291" s="76" t="s">
        <v>712</v>
      </c>
      <c r="B291" s="76" t="s">
        <v>355</v>
      </c>
      <c r="C291" s="76" t="s">
        <v>713</v>
      </c>
      <c r="D291" s="97">
        <v>4</v>
      </c>
      <c r="E291" s="98" t="s">
        <v>325</v>
      </c>
      <c r="F291" s="78">
        <v>171500</v>
      </c>
      <c r="G291" s="97">
        <v>1</v>
      </c>
      <c r="H291" s="98" t="s">
        <v>399</v>
      </c>
      <c r="J291" s="99">
        <f>1+Assumptions!$B$11+INDEX(Assumptions!$B$12:$B$15,D291)*Assumptions!$B$16</f>
        <v>1.5</v>
      </c>
      <c r="K291" s="82">
        <f t="shared" si="28"/>
        <v>257250</v>
      </c>
      <c r="L291" s="100">
        <f>IF(E291="Yes",MAX(0,Assumptions!$B$8-G291+1),0)</f>
        <v>8</v>
      </c>
      <c r="M291" s="82">
        <f t="shared" si="29"/>
        <v>171500</v>
      </c>
      <c r="N291" s="100">
        <f>MIN(1,SUMIFS(Roster!$N$5:$N$1504,Roster!$B$5:$B$1504,$A291))</f>
        <v>1</v>
      </c>
      <c r="O291" s="100">
        <f>SUMIFS(Roster!$L$5:$L$1504,Roster!$B$5:$B$1504,$A291)</f>
        <v>8</v>
      </c>
      <c r="P291" s="83">
        <f>SUMIFS(Roster!$M$5:$M$1504,Roster!$B$5:$B$1504,$A291)*J291</f>
        <v>169400</v>
      </c>
      <c r="Q291" s="83">
        <f>SUMIFS(Roster!$O$5:$O$1504,Roster!$B$5:$B$1504,$A291)*J291</f>
        <v>254100</v>
      </c>
      <c r="R291" s="82">
        <f t="shared" si="30"/>
        <v>254100</v>
      </c>
      <c r="S291" s="82">
        <f t="shared" si="31"/>
        <v>0</v>
      </c>
      <c r="T291" s="82">
        <f t="shared" si="32"/>
        <v>2100</v>
      </c>
      <c r="U291" s="82">
        <f t="shared" si="33"/>
        <v>0</v>
      </c>
      <c r="V291" s="83">
        <f>IF(COUNTIFS(Roster!$B$5:$B$1504,$A291,Roster!$G$5:$G$1504,"&gt;0")=0,0,SUMIFS(Roster!$H$5:$H$1504,Roster!$B$5:$B$1504,$A291,Roster!$G$5:$G$1504,_xlfn.MAXIFS(Roster!$G$5:$G$1504,Roster!$B$5:$B$1504,$A291)))</f>
        <v>0</v>
      </c>
      <c r="W291" s="101" t="str">
        <f t="shared" si="34"/>
        <v>Filled</v>
      </c>
    </row>
    <row r="292" spans="1:23" x14ac:dyDescent="0.25">
      <c r="A292" s="76" t="s">
        <v>714</v>
      </c>
      <c r="B292" s="76" t="s">
        <v>355</v>
      </c>
      <c r="C292" s="76" t="s">
        <v>702</v>
      </c>
      <c r="D292" s="97">
        <v>3</v>
      </c>
      <c r="E292" s="98" t="s">
        <v>325</v>
      </c>
      <c r="F292" s="78">
        <v>120000</v>
      </c>
      <c r="G292" s="97">
        <v>1</v>
      </c>
      <c r="H292" s="98" t="s">
        <v>399</v>
      </c>
      <c r="J292" s="99">
        <f>1+Assumptions!$B$11+INDEX(Assumptions!$B$12:$B$15,D292)*Assumptions!$B$16</f>
        <v>1.4</v>
      </c>
      <c r="K292" s="82">
        <f t="shared" si="28"/>
        <v>168000</v>
      </c>
      <c r="L292" s="100">
        <f>IF(E292="Yes",MAX(0,Assumptions!$B$8-G292+1),0)</f>
        <v>8</v>
      </c>
      <c r="M292" s="82">
        <f t="shared" si="29"/>
        <v>112000</v>
      </c>
      <c r="N292" s="100">
        <f>MIN(1,SUMIFS(Roster!$N$5:$N$1504,Roster!$B$5:$B$1504,$A292))</f>
        <v>1</v>
      </c>
      <c r="O292" s="100">
        <f>SUMIFS(Roster!$L$5:$L$1504,Roster!$B$5:$B$1504,$A292)</f>
        <v>8</v>
      </c>
      <c r="P292" s="83">
        <f>SUMIFS(Roster!$M$5:$M$1504,Roster!$B$5:$B$1504,$A292)*J292</f>
        <v>112466.66666666666</v>
      </c>
      <c r="Q292" s="83">
        <f>SUMIFS(Roster!$O$5:$O$1504,Roster!$B$5:$B$1504,$A292)*J292</f>
        <v>168700</v>
      </c>
      <c r="R292" s="82">
        <f t="shared" si="30"/>
        <v>168700</v>
      </c>
      <c r="S292" s="82">
        <f t="shared" si="31"/>
        <v>0</v>
      </c>
      <c r="T292" s="82">
        <f t="shared" si="32"/>
        <v>-466.66666666665697</v>
      </c>
      <c r="U292" s="82">
        <f t="shared" si="33"/>
        <v>0</v>
      </c>
      <c r="V292" s="83">
        <f>IF(COUNTIFS(Roster!$B$5:$B$1504,$A292,Roster!$G$5:$G$1504,"&gt;0")=0,0,SUMIFS(Roster!$H$5:$H$1504,Roster!$B$5:$B$1504,$A292,Roster!$G$5:$G$1504,_xlfn.MAXIFS(Roster!$G$5:$G$1504,Roster!$B$5:$B$1504,$A292)))</f>
        <v>0</v>
      </c>
      <c r="W292" s="101" t="str">
        <f t="shared" si="34"/>
        <v>Filled</v>
      </c>
    </row>
    <row r="293" spans="1:23" x14ac:dyDescent="0.25">
      <c r="A293" s="76" t="s">
        <v>715</v>
      </c>
      <c r="B293" s="76" t="s">
        <v>355</v>
      </c>
      <c r="C293" s="76" t="s">
        <v>691</v>
      </c>
      <c r="D293" s="97">
        <v>2</v>
      </c>
      <c r="E293" s="98" t="s">
        <v>325</v>
      </c>
      <c r="F293" s="78">
        <v>94000</v>
      </c>
      <c r="G293" s="97">
        <v>1</v>
      </c>
      <c r="H293" s="98" t="s">
        <v>399</v>
      </c>
      <c r="J293" s="99">
        <f>1+Assumptions!$B$11+INDEX(Assumptions!$B$12:$B$15,D293)*Assumptions!$B$16</f>
        <v>1.35</v>
      </c>
      <c r="K293" s="82">
        <f t="shared" si="28"/>
        <v>126900.00000000001</v>
      </c>
      <c r="L293" s="100">
        <f>IF(E293="Yes",MAX(0,Assumptions!$B$8-G293+1),0)</f>
        <v>8</v>
      </c>
      <c r="M293" s="82">
        <f t="shared" si="29"/>
        <v>84600.000000000015</v>
      </c>
      <c r="N293" s="100">
        <f>MIN(1,SUMIFS(Roster!$N$5:$N$1504,Roster!$B$5:$B$1504,$A293))</f>
        <v>1</v>
      </c>
      <c r="O293" s="100">
        <f>SUMIFS(Roster!$L$5:$L$1504,Roster!$B$5:$B$1504,$A293)</f>
        <v>8</v>
      </c>
      <c r="P293" s="83">
        <f>SUMIFS(Roster!$M$5:$M$1504,Roster!$B$5:$B$1504,$A293)*J293</f>
        <v>84690.000000000015</v>
      </c>
      <c r="Q293" s="83">
        <f>SUMIFS(Roster!$O$5:$O$1504,Roster!$B$5:$B$1504,$A293)*J293</f>
        <v>127035.00000000001</v>
      </c>
      <c r="R293" s="82">
        <f t="shared" si="30"/>
        <v>127035.00000000001</v>
      </c>
      <c r="S293" s="82">
        <f t="shared" si="31"/>
        <v>0</v>
      </c>
      <c r="T293" s="82">
        <f t="shared" si="32"/>
        <v>-90</v>
      </c>
      <c r="U293" s="82">
        <f t="shared" si="33"/>
        <v>0</v>
      </c>
      <c r="V293" s="83">
        <f>IF(COUNTIFS(Roster!$B$5:$B$1504,$A293,Roster!$G$5:$G$1504,"&gt;0")=0,0,SUMIFS(Roster!$H$5:$H$1504,Roster!$B$5:$B$1504,$A293,Roster!$G$5:$G$1504,_xlfn.MAXIFS(Roster!$G$5:$G$1504,Roster!$B$5:$B$1504,$A293)))</f>
        <v>0</v>
      </c>
      <c r="W293" s="101" t="str">
        <f t="shared" si="34"/>
        <v>Filled</v>
      </c>
    </row>
    <row r="294" spans="1:23" x14ac:dyDescent="0.25">
      <c r="A294" s="76" t="s">
        <v>716</v>
      </c>
      <c r="B294" s="76" t="s">
        <v>355</v>
      </c>
      <c r="C294" s="76" t="s">
        <v>691</v>
      </c>
      <c r="D294" s="97">
        <v>2</v>
      </c>
      <c r="E294" s="98" t="s">
        <v>325</v>
      </c>
      <c r="F294" s="78">
        <v>84000</v>
      </c>
      <c r="G294" s="97">
        <v>1</v>
      </c>
      <c r="H294" s="98" t="s">
        <v>399</v>
      </c>
      <c r="J294" s="99">
        <f>1+Assumptions!$B$11+INDEX(Assumptions!$B$12:$B$15,D294)*Assumptions!$B$16</f>
        <v>1.35</v>
      </c>
      <c r="K294" s="82">
        <f t="shared" si="28"/>
        <v>113400.00000000001</v>
      </c>
      <c r="L294" s="100">
        <f>IF(E294="Yes",MAX(0,Assumptions!$B$8-G294+1),0)</f>
        <v>8</v>
      </c>
      <c r="M294" s="82">
        <f t="shared" si="29"/>
        <v>75600.000000000015</v>
      </c>
      <c r="N294" s="100">
        <f>MIN(1,SUMIFS(Roster!$N$5:$N$1504,Roster!$B$5:$B$1504,$A294))</f>
        <v>1</v>
      </c>
      <c r="O294" s="100">
        <f>SUMIFS(Roster!$L$5:$L$1504,Roster!$B$5:$B$1504,$A294)</f>
        <v>8</v>
      </c>
      <c r="P294" s="83">
        <f>SUMIFS(Roster!$M$5:$M$1504,Roster!$B$5:$B$1504,$A294)*J294</f>
        <v>75240.000000000015</v>
      </c>
      <c r="Q294" s="83">
        <f>SUMIFS(Roster!$O$5:$O$1504,Roster!$B$5:$B$1504,$A294)*J294</f>
        <v>112860.00000000001</v>
      </c>
      <c r="R294" s="82">
        <f t="shared" si="30"/>
        <v>112860.00000000001</v>
      </c>
      <c r="S294" s="82">
        <f t="shared" si="31"/>
        <v>0</v>
      </c>
      <c r="T294" s="82">
        <f t="shared" si="32"/>
        <v>360</v>
      </c>
      <c r="U294" s="82">
        <f t="shared" si="33"/>
        <v>0</v>
      </c>
      <c r="V294" s="83">
        <f>IF(COUNTIFS(Roster!$B$5:$B$1504,$A294,Roster!$G$5:$G$1504,"&gt;0")=0,0,SUMIFS(Roster!$H$5:$H$1504,Roster!$B$5:$B$1504,$A294,Roster!$G$5:$G$1504,_xlfn.MAXIFS(Roster!$G$5:$G$1504,Roster!$B$5:$B$1504,$A294)))</f>
        <v>0</v>
      </c>
      <c r="W294" s="101" t="str">
        <f t="shared" si="34"/>
        <v>Filled</v>
      </c>
    </row>
    <row r="295" spans="1:23" x14ac:dyDescent="0.25">
      <c r="A295" s="76" t="s">
        <v>717</v>
      </c>
      <c r="B295" s="76" t="s">
        <v>355</v>
      </c>
      <c r="C295" s="76" t="s">
        <v>693</v>
      </c>
      <c r="D295" s="97">
        <v>1</v>
      </c>
      <c r="E295" s="98" t="s">
        <v>325</v>
      </c>
      <c r="F295" s="78">
        <v>68000</v>
      </c>
      <c r="G295" s="97">
        <v>1</v>
      </c>
      <c r="H295" s="98" t="s">
        <v>399</v>
      </c>
      <c r="J295" s="99">
        <f>1+Assumptions!$B$11+INDEX(Assumptions!$B$12:$B$15,D295)*Assumptions!$B$16</f>
        <v>1.3</v>
      </c>
      <c r="K295" s="82">
        <f t="shared" si="28"/>
        <v>88400</v>
      </c>
      <c r="L295" s="100">
        <f>IF(E295="Yes",MAX(0,Assumptions!$B$8-G295+1),0)</f>
        <v>8</v>
      </c>
      <c r="M295" s="82">
        <f t="shared" si="29"/>
        <v>58933.333333333336</v>
      </c>
      <c r="N295" s="100">
        <f>MIN(1,SUMIFS(Roster!$N$5:$N$1504,Roster!$B$5:$B$1504,$A295))</f>
        <v>1</v>
      </c>
      <c r="O295" s="100">
        <f>SUMIFS(Roster!$L$5:$L$1504,Roster!$B$5:$B$1504,$A295)</f>
        <v>8</v>
      </c>
      <c r="P295" s="83">
        <f>SUMIFS(Roster!$M$5:$M$1504,Roster!$B$5:$B$1504,$A295)*J295</f>
        <v>58500</v>
      </c>
      <c r="Q295" s="83">
        <f>SUMIFS(Roster!$O$5:$O$1504,Roster!$B$5:$B$1504,$A295)*J295</f>
        <v>87750</v>
      </c>
      <c r="R295" s="82">
        <f t="shared" si="30"/>
        <v>87750</v>
      </c>
      <c r="S295" s="82">
        <f t="shared" si="31"/>
        <v>0</v>
      </c>
      <c r="T295" s="82">
        <f t="shared" si="32"/>
        <v>433.33333333333576</v>
      </c>
      <c r="U295" s="82">
        <f t="shared" si="33"/>
        <v>0</v>
      </c>
      <c r="V295" s="83">
        <f>IF(COUNTIFS(Roster!$B$5:$B$1504,$A295,Roster!$G$5:$G$1504,"&gt;0")=0,0,SUMIFS(Roster!$H$5:$H$1504,Roster!$B$5:$B$1504,$A295,Roster!$G$5:$G$1504,_xlfn.MAXIFS(Roster!$G$5:$G$1504,Roster!$B$5:$B$1504,$A295)))</f>
        <v>0</v>
      </c>
      <c r="W295" s="101" t="str">
        <f t="shared" si="34"/>
        <v>Filled</v>
      </c>
    </row>
    <row r="296" spans="1:23" x14ac:dyDescent="0.25">
      <c r="A296" s="76" t="s">
        <v>718</v>
      </c>
      <c r="B296" s="76" t="s">
        <v>355</v>
      </c>
      <c r="C296" s="76" t="s">
        <v>691</v>
      </c>
      <c r="D296" s="97">
        <v>2</v>
      </c>
      <c r="E296" s="98" t="s">
        <v>325</v>
      </c>
      <c r="F296" s="78">
        <v>78500</v>
      </c>
      <c r="G296" s="97">
        <v>1</v>
      </c>
      <c r="H296" s="98" t="s">
        <v>399</v>
      </c>
      <c r="J296" s="99">
        <f>1+Assumptions!$B$11+INDEX(Assumptions!$B$12:$B$15,D296)*Assumptions!$B$16</f>
        <v>1.35</v>
      </c>
      <c r="K296" s="82">
        <f t="shared" si="28"/>
        <v>105975</v>
      </c>
      <c r="L296" s="100">
        <f>IF(E296="Yes",MAX(0,Assumptions!$B$8-G296+1),0)</f>
        <v>8</v>
      </c>
      <c r="M296" s="82">
        <f t="shared" si="29"/>
        <v>70650</v>
      </c>
      <c r="N296" s="100">
        <f>MIN(1,SUMIFS(Roster!$N$5:$N$1504,Roster!$B$5:$B$1504,$A296))</f>
        <v>1</v>
      </c>
      <c r="O296" s="100">
        <f>SUMIFS(Roster!$L$5:$L$1504,Roster!$B$5:$B$1504,$A296)</f>
        <v>8</v>
      </c>
      <c r="P296" s="83">
        <f>SUMIFS(Roster!$M$5:$M$1504,Roster!$B$5:$B$1504,$A296)*J296</f>
        <v>71280</v>
      </c>
      <c r="Q296" s="83">
        <f>SUMIFS(Roster!$O$5:$O$1504,Roster!$B$5:$B$1504,$A296)*J296</f>
        <v>106920</v>
      </c>
      <c r="R296" s="82">
        <f t="shared" si="30"/>
        <v>106920</v>
      </c>
      <c r="S296" s="82">
        <f t="shared" si="31"/>
        <v>0</v>
      </c>
      <c r="T296" s="82">
        <f t="shared" si="32"/>
        <v>-630</v>
      </c>
      <c r="U296" s="82">
        <f t="shared" si="33"/>
        <v>0</v>
      </c>
      <c r="V296" s="83">
        <f>IF(COUNTIFS(Roster!$B$5:$B$1504,$A296,Roster!$G$5:$G$1504,"&gt;0")=0,0,SUMIFS(Roster!$H$5:$H$1504,Roster!$B$5:$B$1504,$A296,Roster!$G$5:$G$1504,_xlfn.MAXIFS(Roster!$G$5:$G$1504,Roster!$B$5:$B$1504,$A296)))</f>
        <v>0</v>
      </c>
      <c r="W296" s="101" t="str">
        <f t="shared" si="34"/>
        <v>Filled</v>
      </c>
    </row>
    <row r="297" spans="1:23" x14ac:dyDescent="0.25">
      <c r="A297" s="76" t="s">
        <v>719</v>
      </c>
      <c r="B297" s="76" t="s">
        <v>355</v>
      </c>
      <c r="C297" s="76" t="s">
        <v>693</v>
      </c>
      <c r="D297" s="97">
        <v>1</v>
      </c>
      <c r="E297" s="98" t="s">
        <v>325</v>
      </c>
      <c r="F297" s="78">
        <v>57000</v>
      </c>
      <c r="G297" s="97">
        <v>1</v>
      </c>
      <c r="H297" s="98" t="s">
        <v>399</v>
      </c>
      <c r="J297" s="99">
        <f>1+Assumptions!$B$11+INDEX(Assumptions!$B$12:$B$15,D297)*Assumptions!$B$16</f>
        <v>1.3</v>
      </c>
      <c r="K297" s="82">
        <f t="shared" si="28"/>
        <v>74100</v>
      </c>
      <c r="L297" s="100">
        <f>IF(E297="Yes",MAX(0,Assumptions!$B$8-G297+1),0)</f>
        <v>8</v>
      </c>
      <c r="M297" s="82">
        <f t="shared" si="29"/>
        <v>49400</v>
      </c>
      <c r="N297" s="100">
        <f>MIN(1,SUMIFS(Roster!$N$5:$N$1504,Roster!$B$5:$B$1504,$A297))</f>
        <v>1</v>
      </c>
      <c r="O297" s="100">
        <f>SUMIFS(Roster!$L$5:$L$1504,Roster!$B$5:$B$1504,$A297)</f>
        <v>8</v>
      </c>
      <c r="P297" s="83">
        <f>SUMIFS(Roster!$M$5:$M$1504,Roster!$B$5:$B$1504,$A297)*J297</f>
        <v>49920</v>
      </c>
      <c r="Q297" s="83">
        <f>SUMIFS(Roster!$O$5:$O$1504,Roster!$B$5:$B$1504,$A297)*J297</f>
        <v>74880</v>
      </c>
      <c r="R297" s="82">
        <f t="shared" si="30"/>
        <v>74880</v>
      </c>
      <c r="S297" s="82">
        <f t="shared" si="31"/>
        <v>0</v>
      </c>
      <c r="T297" s="82">
        <f t="shared" si="32"/>
        <v>-520</v>
      </c>
      <c r="U297" s="82">
        <f t="shared" si="33"/>
        <v>0</v>
      </c>
      <c r="V297" s="83">
        <f>IF(COUNTIFS(Roster!$B$5:$B$1504,$A297,Roster!$G$5:$G$1504,"&gt;0")=0,0,SUMIFS(Roster!$H$5:$H$1504,Roster!$B$5:$B$1504,$A297,Roster!$G$5:$G$1504,_xlfn.MAXIFS(Roster!$G$5:$G$1504,Roster!$B$5:$B$1504,$A297)))</f>
        <v>0</v>
      </c>
      <c r="W297" s="101" t="str">
        <f t="shared" si="34"/>
        <v>Filled</v>
      </c>
    </row>
    <row r="298" spans="1:23" x14ac:dyDescent="0.25">
      <c r="A298" s="76" t="s">
        <v>720</v>
      </c>
      <c r="B298" s="76" t="s">
        <v>355</v>
      </c>
      <c r="C298" s="76" t="s">
        <v>691</v>
      </c>
      <c r="D298" s="97">
        <v>2</v>
      </c>
      <c r="E298" s="98" t="s">
        <v>325</v>
      </c>
      <c r="F298" s="78">
        <v>86500</v>
      </c>
      <c r="G298" s="97">
        <v>1</v>
      </c>
      <c r="H298" s="98" t="s">
        <v>399</v>
      </c>
      <c r="J298" s="99">
        <f>1+Assumptions!$B$11+INDEX(Assumptions!$B$12:$B$15,D298)*Assumptions!$B$16</f>
        <v>1.35</v>
      </c>
      <c r="K298" s="82">
        <f t="shared" si="28"/>
        <v>116775.00000000001</v>
      </c>
      <c r="L298" s="100">
        <f>IF(E298="Yes",MAX(0,Assumptions!$B$8-G298+1),0)</f>
        <v>8</v>
      </c>
      <c r="M298" s="82">
        <f t="shared" si="29"/>
        <v>77850.000000000015</v>
      </c>
      <c r="N298" s="100">
        <f>MIN(1,SUMIFS(Roster!$N$5:$N$1504,Roster!$B$5:$B$1504,$A298))</f>
        <v>1</v>
      </c>
      <c r="O298" s="100">
        <f>SUMIFS(Roster!$L$5:$L$1504,Roster!$B$5:$B$1504,$A298)</f>
        <v>8</v>
      </c>
      <c r="P298" s="83">
        <f>SUMIFS(Roster!$M$5:$M$1504,Roster!$B$5:$B$1504,$A298)*J298</f>
        <v>77040</v>
      </c>
      <c r="Q298" s="83">
        <f>SUMIFS(Roster!$O$5:$O$1504,Roster!$B$5:$B$1504,$A298)*J298</f>
        <v>115560.00000000001</v>
      </c>
      <c r="R298" s="82">
        <f t="shared" si="30"/>
        <v>115560.00000000001</v>
      </c>
      <c r="S298" s="82">
        <f t="shared" si="31"/>
        <v>0</v>
      </c>
      <c r="T298" s="82">
        <f t="shared" si="32"/>
        <v>810.00000000001455</v>
      </c>
      <c r="U298" s="82">
        <f t="shared" si="33"/>
        <v>0</v>
      </c>
      <c r="V298" s="83">
        <f>IF(COUNTIFS(Roster!$B$5:$B$1504,$A298,Roster!$G$5:$G$1504,"&gt;0")=0,0,SUMIFS(Roster!$H$5:$H$1504,Roster!$B$5:$B$1504,$A298,Roster!$G$5:$G$1504,_xlfn.MAXIFS(Roster!$G$5:$G$1504,Roster!$B$5:$B$1504,$A298)))</f>
        <v>0</v>
      </c>
      <c r="W298" s="101" t="str">
        <f t="shared" si="34"/>
        <v>Filled</v>
      </c>
    </row>
    <row r="299" spans="1:23" x14ac:dyDescent="0.25">
      <c r="A299" s="76" t="s">
        <v>721</v>
      </c>
      <c r="B299" s="76" t="s">
        <v>355</v>
      </c>
      <c r="C299" s="76" t="s">
        <v>705</v>
      </c>
      <c r="D299" s="97">
        <v>2</v>
      </c>
      <c r="E299" s="98" t="s">
        <v>325</v>
      </c>
      <c r="F299" s="78">
        <v>92500</v>
      </c>
      <c r="G299" s="97">
        <v>1</v>
      </c>
      <c r="H299" s="98" t="s">
        <v>399</v>
      </c>
      <c r="J299" s="99">
        <f>1+Assumptions!$B$11+INDEX(Assumptions!$B$12:$B$15,D299)*Assumptions!$B$16</f>
        <v>1.35</v>
      </c>
      <c r="K299" s="82">
        <f t="shared" si="28"/>
        <v>124875.00000000001</v>
      </c>
      <c r="L299" s="100">
        <f>IF(E299="Yes",MAX(0,Assumptions!$B$8-G299+1),0)</f>
        <v>8</v>
      </c>
      <c r="M299" s="82">
        <f t="shared" si="29"/>
        <v>83250.000000000015</v>
      </c>
      <c r="N299" s="100">
        <f>MIN(1,SUMIFS(Roster!$N$5:$N$1504,Roster!$B$5:$B$1504,$A299))</f>
        <v>1</v>
      </c>
      <c r="O299" s="100">
        <f>SUMIFS(Roster!$L$5:$L$1504,Roster!$B$5:$B$1504,$A299)</f>
        <v>8</v>
      </c>
      <c r="P299" s="83">
        <f>SUMIFS(Roster!$M$5:$M$1504,Roster!$B$5:$B$1504,$A299)*J299</f>
        <v>82980</v>
      </c>
      <c r="Q299" s="83">
        <f>SUMIFS(Roster!$O$5:$O$1504,Roster!$B$5:$B$1504,$A299)*J299</f>
        <v>124470.00000000001</v>
      </c>
      <c r="R299" s="82">
        <f t="shared" si="30"/>
        <v>124470.00000000001</v>
      </c>
      <c r="S299" s="82">
        <f t="shared" si="31"/>
        <v>0</v>
      </c>
      <c r="T299" s="82">
        <f t="shared" si="32"/>
        <v>270.00000000001455</v>
      </c>
      <c r="U299" s="82">
        <f t="shared" si="33"/>
        <v>0</v>
      </c>
      <c r="V299" s="83">
        <f>IF(COUNTIFS(Roster!$B$5:$B$1504,$A299,Roster!$G$5:$G$1504,"&gt;0")=0,0,SUMIFS(Roster!$H$5:$H$1504,Roster!$B$5:$B$1504,$A299,Roster!$G$5:$G$1504,_xlfn.MAXIFS(Roster!$G$5:$G$1504,Roster!$B$5:$B$1504,$A299)))</f>
        <v>0</v>
      </c>
      <c r="W299" s="101" t="str">
        <f t="shared" si="34"/>
        <v>Filled</v>
      </c>
    </row>
    <row r="300" spans="1:23" x14ac:dyDescent="0.25">
      <c r="A300" s="76" t="s">
        <v>722</v>
      </c>
      <c r="B300" s="76" t="s">
        <v>355</v>
      </c>
      <c r="C300" s="76" t="s">
        <v>693</v>
      </c>
      <c r="D300" s="97">
        <v>1</v>
      </c>
      <c r="E300" s="98" t="s">
        <v>325</v>
      </c>
      <c r="F300" s="78">
        <v>54000</v>
      </c>
      <c r="G300" s="97">
        <v>1</v>
      </c>
      <c r="H300" s="98" t="s">
        <v>399</v>
      </c>
      <c r="J300" s="99">
        <f>1+Assumptions!$B$11+INDEX(Assumptions!$B$12:$B$15,D300)*Assumptions!$B$16</f>
        <v>1.3</v>
      </c>
      <c r="K300" s="82">
        <f t="shared" si="28"/>
        <v>70200</v>
      </c>
      <c r="L300" s="100">
        <f>IF(E300="Yes",MAX(0,Assumptions!$B$8-G300+1),0)</f>
        <v>8</v>
      </c>
      <c r="M300" s="82">
        <f t="shared" si="29"/>
        <v>46800</v>
      </c>
      <c r="N300" s="100">
        <f>MIN(1,SUMIFS(Roster!$N$5:$N$1504,Roster!$B$5:$B$1504,$A300))</f>
        <v>1</v>
      </c>
      <c r="O300" s="100">
        <f>SUMIFS(Roster!$L$5:$L$1504,Roster!$B$5:$B$1504,$A300)</f>
        <v>8</v>
      </c>
      <c r="P300" s="83">
        <f>SUMIFS(Roster!$M$5:$M$1504,Roster!$B$5:$B$1504,$A300)*J300</f>
        <v>47060</v>
      </c>
      <c r="Q300" s="83">
        <f>SUMIFS(Roster!$O$5:$O$1504,Roster!$B$5:$B$1504,$A300)*J300</f>
        <v>70590</v>
      </c>
      <c r="R300" s="82">
        <f t="shared" si="30"/>
        <v>70590</v>
      </c>
      <c r="S300" s="82">
        <f t="shared" si="31"/>
        <v>0</v>
      </c>
      <c r="T300" s="82">
        <f t="shared" si="32"/>
        <v>-260</v>
      </c>
      <c r="U300" s="82">
        <f t="shared" si="33"/>
        <v>0</v>
      </c>
      <c r="V300" s="83">
        <f>IF(COUNTIFS(Roster!$B$5:$B$1504,$A300,Roster!$G$5:$G$1504,"&gt;0")=0,0,SUMIFS(Roster!$H$5:$H$1504,Roster!$B$5:$B$1504,$A300,Roster!$G$5:$G$1504,_xlfn.MAXIFS(Roster!$G$5:$G$1504,Roster!$B$5:$B$1504,$A300)))</f>
        <v>0</v>
      </c>
      <c r="W300" s="101" t="str">
        <f t="shared" si="34"/>
        <v>Filled</v>
      </c>
    </row>
    <row r="301" spans="1:23" x14ac:dyDescent="0.25">
      <c r="A301" s="76" t="s">
        <v>723</v>
      </c>
      <c r="B301" s="76" t="s">
        <v>355</v>
      </c>
      <c r="C301" s="76" t="s">
        <v>693</v>
      </c>
      <c r="D301" s="97">
        <v>1</v>
      </c>
      <c r="E301" s="98" t="s">
        <v>325</v>
      </c>
      <c r="F301" s="78">
        <v>68500</v>
      </c>
      <c r="G301" s="97">
        <v>1</v>
      </c>
      <c r="H301" s="98" t="s">
        <v>399</v>
      </c>
      <c r="J301" s="99">
        <f>1+Assumptions!$B$11+INDEX(Assumptions!$B$12:$B$15,D301)*Assumptions!$B$16</f>
        <v>1.3</v>
      </c>
      <c r="K301" s="82">
        <f t="shared" si="28"/>
        <v>89050</v>
      </c>
      <c r="L301" s="100">
        <f>IF(E301="Yes",MAX(0,Assumptions!$B$8-G301+1),0)</f>
        <v>8</v>
      </c>
      <c r="M301" s="82">
        <f t="shared" si="29"/>
        <v>59366.666666666664</v>
      </c>
      <c r="N301" s="100">
        <f>MIN(1,SUMIFS(Roster!$N$5:$N$1504,Roster!$B$5:$B$1504,$A301))</f>
        <v>1</v>
      </c>
      <c r="O301" s="100">
        <f>SUMIFS(Roster!$L$5:$L$1504,Roster!$B$5:$B$1504,$A301)</f>
        <v>6</v>
      </c>
      <c r="P301" s="83">
        <f>SUMIFS(Roster!$M$5:$M$1504,Roster!$B$5:$B$1504,$A301)*J301</f>
        <v>44470.833333333328</v>
      </c>
      <c r="Q301" s="83">
        <f>SUMIFS(Roster!$O$5:$O$1504,Roster!$B$5:$B$1504,$A301)*J301</f>
        <v>91650</v>
      </c>
      <c r="R301" s="82">
        <f t="shared" si="30"/>
        <v>91650</v>
      </c>
      <c r="S301" s="82">
        <f t="shared" si="31"/>
        <v>14841.666666666666</v>
      </c>
      <c r="T301" s="82">
        <f t="shared" si="32"/>
        <v>54.166666666671517</v>
      </c>
      <c r="U301" s="82">
        <f t="shared" si="33"/>
        <v>0</v>
      </c>
      <c r="V301" s="83">
        <f>IF(COUNTIFS(Roster!$B$5:$B$1504,$A301,Roster!$G$5:$G$1504,"&gt;0")=0,0,SUMIFS(Roster!$H$5:$H$1504,Roster!$B$5:$B$1504,$A301,Roster!$G$5:$G$1504,_xlfn.MAXIFS(Roster!$G$5:$G$1504,Roster!$B$5:$B$1504,$A301)))</f>
        <v>68000</v>
      </c>
      <c r="W301" s="101" t="str">
        <f t="shared" si="34"/>
        <v>Filled</v>
      </c>
    </row>
    <row r="302" spans="1:23" x14ac:dyDescent="0.25">
      <c r="A302" s="76" t="s">
        <v>724</v>
      </c>
      <c r="B302" s="76" t="s">
        <v>355</v>
      </c>
      <c r="C302" s="76" t="s">
        <v>713</v>
      </c>
      <c r="D302" s="97">
        <v>4</v>
      </c>
      <c r="E302" s="98" t="s">
        <v>325</v>
      </c>
      <c r="F302" s="78">
        <v>170500</v>
      </c>
      <c r="G302" s="97">
        <v>1</v>
      </c>
      <c r="H302" s="98" t="s">
        <v>399</v>
      </c>
      <c r="J302" s="99">
        <f>1+Assumptions!$B$11+INDEX(Assumptions!$B$12:$B$15,D302)*Assumptions!$B$16</f>
        <v>1.5</v>
      </c>
      <c r="K302" s="82">
        <f t="shared" si="28"/>
        <v>255750</v>
      </c>
      <c r="L302" s="100">
        <f>IF(E302="Yes",MAX(0,Assumptions!$B$8-G302+1),0)</f>
        <v>8</v>
      </c>
      <c r="M302" s="82">
        <f t="shared" si="29"/>
        <v>170500</v>
      </c>
      <c r="N302" s="100">
        <f>MIN(1,SUMIFS(Roster!$N$5:$N$1504,Roster!$B$5:$B$1504,$A302))</f>
        <v>1</v>
      </c>
      <c r="O302" s="100">
        <f>SUMIFS(Roster!$L$5:$L$1504,Roster!$B$5:$B$1504,$A302)</f>
        <v>8</v>
      </c>
      <c r="P302" s="83">
        <f>SUMIFS(Roster!$M$5:$M$1504,Roster!$B$5:$B$1504,$A302)*J302</f>
        <v>171100</v>
      </c>
      <c r="Q302" s="83">
        <f>SUMIFS(Roster!$O$5:$O$1504,Roster!$B$5:$B$1504,$A302)*J302</f>
        <v>256650</v>
      </c>
      <c r="R302" s="82">
        <f t="shared" si="30"/>
        <v>256650</v>
      </c>
      <c r="S302" s="82">
        <f t="shared" si="31"/>
        <v>0</v>
      </c>
      <c r="T302" s="82">
        <f t="shared" si="32"/>
        <v>-600</v>
      </c>
      <c r="U302" s="82">
        <f t="shared" si="33"/>
        <v>0</v>
      </c>
      <c r="V302" s="83">
        <f>IF(COUNTIFS(Roster!$B$5:$B$1504,$A302,Roster!$G$5:$G$1504,"&gt;0")=0,0,SUMIFS(Roster!$H$5:$H$1504,Roster!$B$5:$B$1504,$A302,Roster!$G$5:$G$1504,_xlfn.MAXIFS(Roster!$G$5:$G$1504,Roster!$B$5:$B$1504,$A302)))</f>
        <v>0</v>
      </c>
      <c r="W302" s="101" t="str">
        <f t="shared" si="34"/>
        <v>Filled</v>
      </c>
    </row>
    <row r="303" spans="1:23" x14ac:dyDescent="0.25">
      <c r="A303" s="76" t="s">
        <v>725</v>
      </c>
      <c r="B303" s="76" t="s">
        <v>355</v>
      </c>
      <c r="C303" s="76" t="s">
        <v>693</v>
      </c>
      <c r="D303" s="97">
        <v>1</v>
      </c>
      <c r="E303" s="98" t="s">
        <v>325</v>
      </c>
      <c r="F303" s="78">
        <v>55000</v>
      </c>
      <c r="G303" s="97">
        <v>1</v>
      </c>
      <c r="H303" s="98" t="s">
        <v>399</v>
      </c>
      <c r="J303" s="99">
        <f>1+Assumptions!$B$11+INDEX(Assumptions!$B$12:$B$15,D303)*Assumptions!$B$16</f>
        <v>1.3</v>
      </c>
      <c r="K303" s="82">
        <f t="shared" si="28"/>
        <v>71500</v>
      </c>
      <c r="L303" s="100">
        <f>IF(E303="Yes",MAX(0,Assumptions!$B$8-G303+1),0)</f>
        <v>8</v>
      </c>
      <c r="M303" s="82">
        <f t="shared" si="29"/>
        <v>47666.666666666664</v>
      </c>
      <c r="N303" s="100">
        <f>MIN(1,SUMIFS(Roster!$N$5:$N$1504,Roster!$B$5:$B$1504,$A303))</f>
        <v>1</v>
      </c>
      <c r="O303" s="100">
        <f>SUMIFS(Roster!$L$5:$L$1504,Roster!$B$5:$B$1504,$A303)</f>
        <v>8</v>
      </c>
      <c r="P303" s="83">
        <f>SUMIFS(Roster!$M$5:$M$1504,Roster!$B$5:$B$1504,$A303)*J303</f>
        <v>46973.333333333336</v>
      </c>
      <c r="Q303" s="83">
        <f>SUMIFS(Roster!$O$5:$O$1504,Roster!$B$5:$B$1504,$A303)*J303</f>
        <v>70460</v>
      </c>
      <c r="R303" s="82">
        <f t="shared" si="30"/>
        <v>70460</v>
      </c>
      <c r="S303" s="82">
        <f t="shared" si="31"/>
        <v>0</v>
      </c>
      <c r="T303" s="82">
        <f t="shared" si="32"/>
        <v>693.33333333332848</v>
      </c>
      <c r="U303" s="82">
        <f t="shared" si="33"/>
        <v>0</v>
      </c>
      <c r="V303" s="83">
        <f>IF(COUNTIFS(Roster!$B$5:$B$1504,$A303,Roster!$G$5:$G$1504,"&gt;0")=0,0,SUMIFS(Roster!$H$5:$H$1504,Roster!$B$5:$B$1504,$A303,Roster!$G$5:$G$1504,_xlfn.MAXIFS(Roster!$G$5:$G$1504,Roster!$B$5:$B$1504,$A303)))</f>
        <v>0</v>
      </c>
      <c r="W303" s="101" t="str">
        <f t="shared" si="34"/>
        <v>Filled</v>
      </c>
    </row>
    <row r="304" spans="1:23" x14ac:dyDescent="0.25">
      <c r="A304" s="76" t="s">
        <v>726</v>
      </c>
      <c r="B304" s="76" t="s">
        <v>355</v>
      </c>
      <c r="C304" s="76" t="s">
        <v>693</v>
      </c>
      <c r="D304" s="97">
        <v>1</v>
      </c>
      <c r="E304" s="98" t="s">
        <v>325</v>
      </c>
      <c r="F304" s="78">
        <v>65000</v>
      </c>
      <c r="G304" s="97">
        <v>1</v>
      </c>
      <c r="H304" s="98" t="s">
        <v>399</v>
      </c>
      <c r="J304" s="99">
        <f>1+Assumptions!$B$11+INDEX(Assumptions!$B$12:$B$15,D304)*Assumptions!$B$16</f>
        <v>1.3</v>
      </c>
      <c r="K304" s="82">
        <f t="shared" si="28"/>
        <v>84500</v>
      </c>
      <c r="L304" s="100">
        <f>IF(E304="Yes",MAX(0,Assumptions!$B$8-G304+1),0)</f>
        <v>8</v>
      </c>
      <c r="M304" s="82">
        <f t="shared" si="29"/>
        <v>56333.333333333336</v>
      </c>
      <c r="N304" s="100">
        <f>MIN(1,SUMIFS(Roster!$N$5:$N$1504,Roster!$B$5:$B$1504,$A304))</f>
        <v>1</v>
      </c>
      <c r="O304" s="100">
        <f>SUMIFS(Roster!$L$5:$L$1504,Roster!$B$5:$B$1504,$A304)</f>
        <v>8</v>
      </c>
      <c r="P304" s="83">
        <f>SUMIFS(Roster!$M$5:$M$1504,Roster!$B$5:$B$1504,$A304)*J304</f>
        <v>55640</v>
      </c>
      <c r="Q304" s="83">
        <f>SUMIFS(Roster!$O$5:$O$1504,Roster!$B$5:$B$1504,$A304)*J304</f>
        <v>83460</v>
      </c>
      <c r="R304" s="82">
        <f t="shared" si="30"/>
        <v>83460</v>
      </c>
      <c r="S304" s="82">
        <f t="shared" si="31"/>
        <v>0</v>
      </c>
      <c r="T304" s="82">
        <f t="shared" si="32"/>
        <v>693.33333333333576</v>
      </c>
      <c r="U304" s="82">
        <f t="shared" si="33"/>
        <v>0</v>
      </c>
      <c r="V304" s="83">
        <f>IF(COUNTIFS(Roster!$B$5:$B$1504,$A304,Roster!$G$5:$G$1504,"&gt;0")=0,0,SUMIFS(Roster!$H$5:$H$1504,Roster!$B$5:$B$1504,$A304,Roster!$G$5:$G$1504,_xlfn.MAXIFS(Roster!$G$5:$G$1504,Roster!$B$5:$B$1504,$A304)))</f>
        <v>0</v>
      </c>
      <c r="W304" s="101" t="str">
        <f t="shared" si="34"/>
        <v>Filled</v>
      </c>
    </row>
    <row r="305" spans="1:23" x14ac:dyDescent="0.25">
      <c r="A305" s="76" t="s">
        <v>727</v>
      </c>
      <c r="B305" s="76" t="s">
        <v>355</v>
      </c>
      <c r="C305" s="76" t="s">
        <v>693</v>
      </c>
      <c r="D305" s="97">
        <v>1</v>
      </c>
      <c r="E305" s="98" t="s">
        <v>325</v>
      </c>
      <c r="F305" s="78">
        <v>59500</v>
      </c>
      <c r="G305" s="97">
        <v>1</v>
      </c>
      <c r="H305" s="98" t="s">
        <v>399</v>
      </c>
      <c r="J305" s="99">
        <f>1+Assumptions!$B$11+INDEX(Assumptions!$B$12:$B$15,D305)*Assumptions!$B$16</f>
        <v>1.3</v>
      </c>
      <c r="K305" s="82">
        <f t="shared" si="28"/>
        <v>77350</v>
      </c>
      <c r="L305" s="100">
        <f>IF(E305="Yes",MAX(0,Assumptions!$B$8-G305+1),0)</f>
        <v>8</v>
      </c>
      <c r="M305" s="82">
        <f t="shared" si="29"/>
        <v>51566.666666666664</v>
      </c>
      <c r="N305" s="100">
        <f>MIN(1,SUMIFS(Roster!$N$5:$N$1504,Roster!$B$5:$B$1504,$A305))</f>
        <v>1</v>
      </c>
      <c r="O305" s="100">
        <f>SUMIFS(Roster!$L$5:$L$1504,Roster!$B$5:$B$1504,$A305)</f>
        <v>8</v>
      </c>
      <c r="P305" s="83">
        <f>SUMIFS(Roster!$M$5:$M$1504,Roster!$B$5:$B$1504,$A305)*J305</f>
        <v>52173.333333333336</v>
      </c>
      <c r="Q305" s="83">
        <f>SUMIFS(Roster!$O$5:$O$1504,Roster!$B$5:$B$1504,$A305)*J305</f>
        <v>78260</v>
      </c>
      <c r="R305" s="82">
        <f t="shared" si="30"/>
        <v>78260</v>
      </c>
      <c r="S305" s="82">
        <f t="shared" si="31"/>
        <v>0</v>
      </c>
      <c r="T305" s="82">
        <f t="shared" si="32"/>
        <v>-606.66666666667152</v>
      </c>
      <c r="U305" s="82">
        <f t="shared" si="33"/>
        <v>0</v>
      </c>
      <c r="V305" s="83">
        <f>IF(COUNTIFS(Roster!$B$5:$B$1504,$A305,Roster!$G$5:$G$1504,"&gt;0")=0,0,SUMIFS(Roster!$H$5:$H$1504,Roster!$B$5:$B$1504,$A305,Roster!$G$5:$G$1504,_xlfn.MAXIFS(Roster!$G$5:$G$1504,Roster!$B$5:$B$1504,$A305)))</f>
        <v>0</v>
      </c>
      <c r="W305" s="101" t="str">
        <f t="shared" si="34"/>
        <v>Filled</v>
      </c>
    </row>
    <row r="306" spans="1:23" x14ac:dyDescent="0.25">
      <c r="A306" s="76" t="s">
        <v>728</v>
      </c>
      <c r="B306" s="76" t="s">
        <v>355</v>
      </c>
      <c r="C306" s="76" t="s">
        <v>693</v>
      </c>
      <c r="D306" s="97">
        <v>1</v>
      </c>
      <c r="E306" s="98" t="s">
        <v>325</v>
      </c>
      <c r="F306" s="78">
        <v>69500</v>
      </c>
      <c r="G306" s="97">
        <v>1</v>
      </c>
      <c r="H306" s="98" t="s">
        <v>399</v>
      </c>
      <c r="J306" s="99">
        <f>1+Assumptions!$B$11+INDEX(Assumptions!$B$12:$B$15,D306)*Assumptions!$B$16</f>
        <v>1.3</v>
      </c>
      <c r="K306" s="82">
        <f t="shared" si="28"/>
        <v>90350</v>
      </c>
      <c r="L306" s="100">
        <f>IF(E306="Yes",MAX(0,Assumptions!$B$8-G306+1),0)</f>
        <v>8</v>
      </c>
      <c r="M306" s="82">
        <f t="shared" si="29"/>
        <v>60233.333333333336</v>
      </c>
      <c r="N306" s="100">
        <f>MIN(1,SUMIFS(Roster!$N$5:$N$1504,Roster!$B$5:$B$1504,$A306))</f>
        <v>1</v>
      </c>
      <c r="O306" s="100">
        <f>SUMIFS(Roster!$L$5:$L$1504,Roster!$B$5:$B$1504,$A306)</f>
        <v>8</v>
      </c>
      <c r="P306" s="83">
        <f>SUMIFS(Roster!$M$5:$M$1504,Roster!$B$5:$B$1504,$A306)*J306</f>
        <v>59453.333333333336</v>
      </c>
      <c r="Q306" s="83">
        <f>SUMIFS(Roster!$O$5:$O$1504,Roster!$B$5:$B$1504,$A306)*J306</f>
        <v>89180</v>
      </c>
      <c r="R306" s="82">
        <f t="shared" si="30"/>
        <v>89180</v>
      </c>
      <c r="S306" s="82">
        <f t="shared" si="31"/>
        <v>0</v>
      </c>
      <c r="T306" s="82">
        <f t="shared" si="32"/>
        <v>780</v>
      </c>
      <c r="U306" s="82">
        <f t="shared" si="33"/>
        <v>0</v>
      </c>
      <c r="V306" s="83">
        <f>IF(COUNTIFS(Roster!$B$5:$B$1504,$A306,Roster!$G$5:$G$1504,"&gt;0")=0,0,SUMIFS(Roster!$H$5:$H$1504,Roster!$B$5:$B$1504,$A306,Roster!$G$5:$G$1504,_xlfn.MAXIFS(Roster!$G$5:$G$1504,Roster!$B$5:$B$1504,$A306)))</f>
        <v>0</v>
      </c>
      <c r="W306" s="101" t="str">
        <f t="shared" si="34"/>
        <v>Filled</v>
      </c>
    </row>
    <row r="307" spans="1:23" x14ac:dyDescent="0.25">
      <c r="A307" s="76" t="s">
        <v>729</v>
      </c>
      <c r="B307" s="76" t="s">
        <v>355</v>
      </c>
      <c r="C307" s="76" t="s">
        <v>691</v>
      </c>
      <c r="D307" s="97">
        <v>2</v>
      </c>
      <c r="E307" s="98" t="s">
        <v>325</v>
      </c>
      <c r="F307" s="78">
        <v>88000</v>
      </c>
      <c r="G307" s="97">
        <v>1</v>
      </c>
      <c r="H307" s="98" t="s">
        <v>399</v>
      </c>
      <c r="J307" s="99">
        <f>1+Assumptions!$B$11+INDEX(Assumptions!$B$12:$B$15,D307)*Assumptions!$B$16</f>
        <v>1.35</v>
      </c>
      <c r="K307" s="82">
        <f t="shared" si="28"/>
        <v>118800.00000000001</v>
      </c>
      <c r="L307" s="100">
        <f>IF(E307="Yes",MAX(0,Assumptions!$B$8-G307+1),0)</f>
        <v>8</v>
      </c>
      <c r="M307" s="82">
        <f t="shared" si="29"/>
        <v>79200.000000000015</v>
      </c>
      <c r="N307" s="100">
        <f>MIN(1,SUMIFS(Roster!$N$5:$N$1504,Roster!$B$5:$B$1504,$A307))</f>
        <v>1</v>
      </c>
      <c r="O307" s="100">
        <f>SUMIFS(Roster!$L$5:$L$1504,Roster!$B$5:$B$1504,$A307)</f>
        <v>8</v>
      </c>
      <c r="P307" s="83">
        <f>SUMIFS(Roster!$M$5:$M$1504,Roster!$B$5:$B$1504,$A307)*J307</f>
        <v>78120</v>
      </c>
      <c r="Q307" s="83">
        <f>SUMIFS(Roster!$O$5:$O$1504,Roster!$B$5:$B$1504,$A307)*J307</f>
        <v>117180.00000000001</v>
      </c>
      <c r="R307" s="82">
        <f t="shared" si="30"/>
        <v>117180.00000000001</v>
      </c>
      <c r="S307" s="82">
        <f t="shared" si="31"/>
        <v>0</v>
      </c>
      <c r="T307" s="82">
        <f t="shared" si="32"/>
        <v>1080.0000000000146</v>
      </c>
      <c r="U307" s="82">
        <f t="shared" si="33"/>
        <v>0</v>
      </c>
      <c r="V307" s="83">
        <f>IF(COUNTIFS(Roster!$B$5:$B$1504,$A307,Roster!$G$5:$G$1504,"&gt;0")=0,0,SUMIFS(Roster!$H$5:$H$1504,Roster!$B$5:$B$1504,$A307,Roster!$G$5:$G$1504,_xlfn.MAXIFS(Roster!$G$5:$G$1504,Roster!$B$5:$B$1504,$A307)))</f>
        <v>0</v>
      </c>
      <c r="W307" s="101" t="str">
        <f t="shared" si="34"/>
        <v>Filled</v>
      </c>
    </row>
    <row r="308" spans="1:23" x14ac:dyDescent="0.25">
      <c r="A308" s="76" t="s">
        <v>730</v>
      </c>
      <c r="B308" s="76" t="s">
        <v>355</v>
      </c>
      <c r="C308" s="76" t="s">
        <v>693</v>
      </c>
      <c r="D308" s="97">
        <v>1</v>
      </c>
      <c r="E308" s="98" t="s">
        <v>325</v>
      </c>
      <c r="F308" s="78">
        <v>67000</v>
      </c>
      <c r="G308" s="97">
        <v>1</v>
      </c>
      <c r="H308" s="98" t="s">
        <v>399</v>
      </c>
      <c r="J308" s="99">
        <f>1+Assumptions!$B$11+INDEX(Assumptions!$B$12:$B$15,D308)*Assumptions!$B$16</f>
        <v>1.3</v>
      </c>
      <c r="K308" s="82">
        <f t="shared" si="28"/>
        <v>87100</v>
      </c>
      <c r="L308" s="100">
        <f>IF(E308="Yes",MAX(0,Assumptions!$B$8-G308+1),0)</f>
        <v>8</v>
      </c>
      <c r="M308" s="82">
        <f t="shared" si="29"/>
        <v>58066.666666666664</v>
      </c>
      <c r="N308" s="100">
        <f>MIN(1,SUMIFS(Roster!$N$5:$N$1504,Roster!$B$5:$B$1504,$A308))</f>
        <v>1</v>
      </c>
      <c r="O308" s="100">
        <f>SUMIFS(Roster!$L$5:$L$1504,Roster!$B$5:$B$1504,$A308)</f>
        <v>8</v>
      </c>
      <c r="P308" s="83">
        <f>SUMIFS(Roster!$M$5:$M$1504,Roster!$B$5:$B$1504,$A308)*J308</f>
        <v>57460</v>
      </c>
      <c r="Q308" s="83">
        <f>SUMIFS(Roster!$O$5:$O$1504,Roster!$B$5:$B$1504,$A308)*J308</f>
        <v>86190</v>
      </c>
      <c r="R308" s="82">
        <f t="shared" si="30"/>
        <v>86190</v>
      </c>
      <c r="S308" s="82">
        <f t="shared" si="31"/>
        <v>0</v>
      </c>
      <c r="T308" s="82">
        <f t="shared" si="32"/>
        <v>606.66666666666424</v>
      </c>
      <c r="U308" s="82">
        <f t="shared" si="33"/>
        <v>0</v>
      </c>
      <c r="V308" s="83">
        <f>IF(COUNTIFS(Roster!$B$5:$B$1504,$A308,Roster!$G$5:$G$1504,"&gt;0")=0,0,SUMIFS(Roster!$H$5:$H$1504,Roster!$B$5:$B$1504,$A308,Roster!$G$5:$G$1504,_xlfn.MAXIFS(Roster!$G$5:$G$1504,Roster!$B$5:$B$1504,$A308)))</f>
        <v>0</v>
      </c>
      <c r="W308" s="101" t="str">
        <f t="shared" si="34"/>
        <v>Filled</v>
      </c>
    </row>
    <row r="309" spans="1:23" x14ac:dyDescent="0.25">
      <c r="A309" s="76" t="s">
        <v>731</v>
      </c>
      <c r="B309" s="76" t="s">
        <v>355</v>
      </c>
      <c r="C309" s="76" t="s">
        <v>705</v>
      </c>
      <c r="D309" s="97">
        <v>2</v>
      </c>
      <c r="E309" s="98" t="s">
        <v>325</v>
      </c>
      <c r="F309" s="78">
        <v>93500</v>
      </c>
      <c r="G309" s="97">
        <v>1</v>
      </c>
      <c r="H309" s="98" t="s">
        <v>399</v>
      </c>
      <c r="J309" s="99">
        <f>1+Assumptions!$B$11+INDEX(Assumptions!$B$12:$B$15,D309)*Assumptions!$B$16</f>
        <v>1.35</v>
      </c>
      <c r="K309" s="82">
        <f t="shared" si="28"/>
        <v>126225.00000000001</v>
      </c>
      <c r="L309" s="100">
        <f>IF(E309="Yes",MAX(0,Assumptions!$B$8-G309+1),0)</f>
        <v>8</v>
      </c>
      <c r="M309" s="82">
        <f t="shared" si="29"/>
        <v>84150.000000000015</v>
      </c>
      <c r="N309" s="100">
        <f>MIN(1,SUMIFS(Roster!$N$5:$N$1504,Roster!$B$5:$B$1504,$A309))</f>
        <v>1</v>
      </c>
      <c r="O309" s="100">
        <f>SUMIFS(Roster!$L$5:$L$1504,Roster!$B$5:$B$1504,$A309)</f>
        <v>8</v>
      </c>
      <c r="P309" s="83">
        <f>SUMIFS(Roster!$M$5:$M$1504,Roster!$B$5:$B$1504,$A309)*J309</f>
        <v>85320</v>
      </c>
      <c r="Q309" s="83">
        <f>SUMIFS(Roster!$O$5:$O$1504,Roster!$B$5:$B$1504,$A309)*J309</f>
        <v>127980.00000000001</v>
      </c>
      <c r="R309" s="82">
        <f t="shared" si="30"/>
        <v>127980.00000000001</v>
      </c>
      <c r="S309" s="82">
        <f t="shared" si="31"/>
        <v>0</v>
      </c>
      <c r="T309" s="82">
        <f t="shared" si="32"/>
        <v>-1169.9999999999854</v>
      </c>
      <c r="U309" s="82">
        <f t="shared" si="33"/>
        <v>0</v>
      </c>
      <c r="V309" s="83">
        <f>IF(COUNTIFS(Roster!$B$5:$B$1504,$A309,Roster!$G$5:$G$1504,"&gt;0")=0,0,SUMIFS(Roster!$H$5:$H$1504,Roster!$B$5:$B$1504,$A309,Roster!$G$5:$G$1504,_xlfn.MAXIFS(Roster!$G$5:$G$1504,Roster!$B$5:$B$1504,$A309)))</f>
        <v>0</v>
      </c>
      <c r="W309" s="101" t="str">
        <f t="shared" si="34"/>
        <v>Filled</v>
      </c>
    </row>
    <row r="310" spans="1:23" x14ac:dyDescent="0.25">
      <c r="A310" s="76" t="s">
        <v>732</v>
      </c>
      <c r="B310" s="76" t="s">
        <v>355</v>
      </c>
      <c r="C310" s="76" t="s">
        <v>702</v>
      </c>
      <c r="D310" s="97">
        <v>3</v>
      </c>
      <c r="E310" s="98" t="s">
        <v>325</v>
      </c>
      <c r="F310" s="78">
        <v>122000</v>
      </c>
      <c r="G310" s="97">
        <v>1</v>
      </c>
      <c r="H310" s="98" t="s">
        <v>399</v>
      </c>
      <c r="J310" s="99">
        <f>1+Assumptions!$B$11+INDEX(Assumptions!$B$12:$B$15,D310)*Assumptions!$B$16</f>
        <v>1.4</v>
      </c>
      <c r="K310" s="82">
        <f t="shared" si="28"/>
        <v>170800</v>
      </c>
      <c r="L310" s="100">
        <f>IF(E310="Yes",MAX(0,Assumptions!$B$8-G310+1),0)</f>
        <v>8</v>
      </c>
      <c r="M310" s="82">
        <f t="shared" si="29"/>
        <v>113866.66666666667</v>
      </c>
      <c r="N310" s="100">
        <f>MIN(1,SUMIFS(Roster!$N$5:$N$1504,Roster!$B$5:$B$1504,$A310))</f>
        <v>1</v>
      </c>
      <c r="O310" s="100">
        <f>SUMIFS(Roster!$L$5:$L$1504,Roster!$B$5:$B$1504,$A310)</f>
        <v>8</v>
      </c>
      <c r="P310" s="83">
        <f>SUMIFS(Roster!$M$5:$M$1504,Roster!$B$5:$B$1504,$A310)*J310</f>
        <v>112840</v>
      </c>
      <c r="Q310" s="83">
        <f>SUMIFS(Roster!$O$5:$O$1504,Roster!$B$5:$B$1504,$A310)*J310</f>
        <v>169260</v>
      </c>
      <c r="R310" s="82">
        <f t="shared" si="30"/>
        <v>169260</v>
      </c>
      <c r="S310" s="82">
        <f t="shared" si="31"/>
        <v>0</v>
      </c>
      <c r="T310" s="82">
        <f t="shared" si="32"/>
        <v>1026.6666666666715</v>
      </c>
      <c r="U310" s="82">
        <f t="shared" si="33"/>
        <v>0</v>
      </c>
      <c r="V310" s="83">
        <f>IF(COUNTIFS(Roster!$B$5:$B$1504,$A310,Roster!$G$5:$G$1504,"&gt;0")=0,0,SUMIFS(Roster!$H$5:$H$1504,Roster!$B$5:$B$1504,$A310,Roster!$G$5:$G$1504,_xlfn.MAXIFS(Roster!$G$5:$G$1504,Roster!$B$5:$B$1504,$A310)))</f>
        <v>0</v>
      </c>
      <c r="W310" s="101" t="str">
        <f t="shared" si="34"/>
        <v>Filled</v>
      </c>
    </row>
    <row r="311" spans="1:23" x14ac:dyDescent="0.25">
      <c r="A311" s="76" t="s">
        <v>733</v>
      </c>
      <c r="B311" s="76" t="s">
        <v>355</v>
      </c>
      <c r="C311" s="76" t="s">
        <v>702</v>
      </c>
      <c r="D311" s="97">
        <v>3</v>
      </c>
      <c r="E311" s="98" t="s">
        <v>325</v>
      </c>
      <c r="F311" s="78">
        <v>115000</v>
      </c>
      <c r="G311" s="97">
        <v>1</v>
      </c>
      <c r="H311" s="98" t="s">
        <v>399</v>
      </c>
      <c r="J311" s="99">
        <f>1+Assumptions!$B$11+INDEX(Assumptions!$B$12:$B$15,D311)*Assumptions!$B$16</f>
        <v>1.4</v>
      </c>
      <c r="K311" s="82">
        <f t="shared" si="28"/>
        <v>161000</v>
      </c>
      <c r="L311" s="100">
        <f>IF(E311="Yes",MAX(0,Assumptions!$B$8-G311+1),0)</f>
        <v>8</v>
      </c>
      <c r="M311" s="82">
        <f t="shared" si="29"/>
        <v>107333.33333333333</v>
      </c>
      <c r="N311" s="100">
        <f>MIN(1,SUMIFS(Roster!$N$5:$N$1504,Roster!$B$5:$B$1504,$A311))</f>
        <v>1</v>
      </c>
      <c r="O311" s="100">
        <f>SUMIFS(Roster!$L$5:$L$1504,Roster!$B$5:$B$1504,$A311)</f>
        <v>8</v>
      </c>
      <c r="P311" s="83">
        <f>SUMIFS(Roster!$M$5:$M$1504,Roster!$B$5:$B$1504,$A311)*J311</f>
        <v>108640</v>
      </c>
      <c r="Q311" s="83">
        <f>SUMIFS(Roster!$O$5:$O$1504,Roster!$B$5:$B$1504,$A311)*J311</f>
        <v>162960</v>
      </c>
      <c r="R311" s="82">
        <f t="shared" si="30"/>
        <v>162960</v>
      </c>
      <c r="S311" s="82">
        <f t="shared" si="31"/>
        <v>0</v>
      </c>
      <c r="T311" s="82">
        <f t="shared" si="32"/>
        <v>-1306.6666666666715</v>
      </c>
      <c r="U311" s="82">
        <f t="shared" si="33"/>
        <v>0</v>
      </c>
      <c r="V311" s="83">
        <f>IF(COUNTIFS(Roster!$B$5:$B$1504,$A311,Roster!$G$5:$G$1504,"&gt;0")=0,0,SUMIFS(Roster!$H$5:$H$1504,Roster!$B$5:$B$1504,$A311,Roster!$G$5:$G$1504,_xlfn.MAXIFS(Roster!$G$5:$G$1504,Roster!$B$5:$B$1504,$A311)))</f>
        <v>0</v>
      </c>
      <c r="W311" s="101" t="str">
        <f t="shared" si="34"/>
        <v>Filled</v>
      </c>
    </row>
    <row r="312" spans="1:23" x14ac:dyDescent="0.25">
      <c r="A312" s="76" t="s">
        <v>734</v>
      </c>
      <c r="B312" s="76" t="s">
        <v>355</v>
      </c>
      <c r="C312" s="76" t="s">
        <v>691</v>
      </c>
      <c r="D312" s="97">
        <v>2</v>
      </c>
      <c r="E312" s="98" t="s">
        <v>325</v>
      </c>
      <c r="F312" s="78">
        <v>72500</v>
      </c>
      <c r="G312" s="97">
        <v>1</v>
      </c>
      <c r="H312" s="98" t="s">
        <v>399</v>
      </c>
      <c r="J312" s="99">
        <f>1+Assumptions!$B$11+INDEX(Assumptions!$B$12:$B$15,D312)*Assumptions!$B$16</f>
        <v>1.35</v>
      </c>
      <c r="K312" s="82">
        <f t="shared" si="28"/>
        <v>97875</v>
      </c>
      <c r="L312" s="100">
        <f>IF(E312="Yes",MAX(0,Assumptions!$B$8-G312+1),0)</f>
        <v>8</v>
      </c>
      <c r="M312" s="82">
        <f t="shared" si="29"/>
        <v>65250</v>
      </c>
      <c r="N312" s="100">
        <f>MIN(1,SUMIFS(Roster!$N$5:$N$1504,Roster!$B$5:$B$1504,$A312))</f>
        <v>0</v>
      </c>
      <c r="O312" s="100">
        <f>SUMIFS(Roster!$L$5:$L$1504,Roster!$B$5:$B$1504,$A312)</f>
        <v>7</v>
      </c>
      <c r="P312" s="83">
        <f>SUMIFS(Roster!$M$5:$M$1504,Roster!$B$5:$B$1504,$A312)*J312</f>
        <v>57487.500000000007</v>
      </c>
      <c r="Q312" s="83">
        <f>SUMIFS(Roster!$O$5:$O$1504,Roster!$B$5:$B$1504,$A312)*J312</f>
        <v>0</v>
      </c>
      <c r="R312" s="82">
        <f t="shared" si="30"/>
        <v>97875</v>
      </c>
      <c r="S312" s="82">
        <f t="shared" si="31"/>
        <v>8156.25</v>
      </c>
      <c r="T312" s="82">
        <f t="shared" si="32"/>
        <v>-393.75000000000728</v>
      </c>
      <c r="U312" s="82">
        <f t="shared" si="33"/>
        <v>0</v>
      </c>
      <c r="V312" s="83">
        <f>IF(COUNTIFS(Roster!$B$5:$B$1504,$A312,Roster!$G$5:$G$1504,"&gt;0")=0,0,SUMIFS(Roster!$H$5:$H$1504,Roster!$B$5:$B$1504,$A312,Roster!$G$5:$G$1504,_xlfn.MAXIFS(Roster!$G$5:$G$1504,Roster!$B$5:$B$1504,$A312)))</f>
        <v>73000</v>
      </c>
      <c r="W312" s="101" t="str">
        <f t="shared" si="34"/>
        <v>Open: to fill</v>
      </c>
    </row>
    <row r="313" spans="1:23" x14ac:dyDescent="0.25">
      <c r="A313" s="76" t="s">
        <v>735</v>
      </c>
      <c r="B313" s="76" t="s">
        <v>355</v>
      </c>
      <c r="C313" s="76" t="s">
        <v>705</v>
      </c>
      <c r="D313" s="97">
        <v>2</v>
      </c>
      <c r="E313" s="98" t="s">
        <v>325</v>
      </c>
      <c r="F313" s="78">
        <v>88000</v>
      </c>
      <c r="G313" s="97">
        <v>1</v>
      </c>
      <c r="H313" s="98" t="s">
        <v>399</v>
      </c>
      <c r="J313" s="99">
        <f>1+Assumptions!$B$11+INDEX(Assumptions!$B$12:$B$15,D313)*Assumptions!$B$16</f>
        <v>1.35</v>
      </c>
      <c r="K313" s="82">
        <f t="shared" si="28"/>
        <v>118800.00000000001</v>
      </c>
      <c r="L313" s="100">
        <f>IF(E313="Yes",MAX(0,Assumptions!$B$8-G313+1),0)</f>
        <v>8</v>
      </c>
      <c r="M313" s="82">
        <f t="shared" si="29"/>
        <v>79200.000000000015</v>
      </c>
      <c r="N313" s="100">
        <f>MIN(1,SUMIFS(Roster!$N$5:$N$1504,Roster!$B$5:$B$1504,$A313))</f>
        <v>1</v>
      </c>
      <c r="O313" s="100">
        <f>SUMIFS(Roster!$L$5:$L$1504,Roster!$B$5:$B$1504,$A313)</f>
        <v>8</v>
      </c>
      <c r="P313" s="83">
        <f>SUMIFS(Roster!$M$5:$M$1504,Roster!$B$5:$B$1504,$A313)*J313</f>
        <v>79470</v>
      </c>
      <c r="Q313" s="83">
        <f>SUMIFS(Roster!$O$5:$O$1504,Roster!$B$5:$B$1504,$A313)*J313</f>
        <v>119205.00000000001</v>
      </c>
      <c r="R313" s="82">
        <f t="shared" si="30"/>
        <v>119205.00000000001</v>
      </c>
      <c r="S313" s="82">
        <f t="shared" si="31"/>
        <v>0</v>
      </c>
      <c r="T313" s="82">
        <f t="shared" si="32"/>
        <v>-269.99999999998545</v>
      </c>
      <c r="U313" s="82">
        <f t="shared" si="33"/>
        <v>0</v>
      </c>
      <c r="V313" s="83">
        <f>IF(COUNTIFS(Roster!$B$5:$B$1504,$A313,Roster!$G$5:$G$1504,"&gt;0")=0,0,SUMIFS(Roster!$H$5:$H$1504,Roster!$B$5:$B$1504,$A313,Roster!$G$5:$G$1504,_xlfn.MAXIFS(Roster!$G$5:$G$1504,Roster!$B$5:$B$1504,$A313)))</f>
        <v>0</v>
      </c>
      <c r="W313" s="101" t="str">
        <f t="shared" si="34"/>
        <v>Filled</v>
      </c>
    </row>
    <row r="314" spans="1:23" x14ac:dyDescent="0.25">
      <c r="A314" s="76" t="s">
        <v>736</v>
      </c>
      <c r="B314" s="76" t="s">
        <v>355</v>
      </c>
      <c r="C314" s="76" t="s">
        <v>693</v>
      </c>
      <c r="D314" s="97">
        <v>1</v>
      </c>
      <c r="E314" s="98" t="s">
        <v>325</v>
      </c>
      <c r="F314" s="78">
        <v>63000</v>
      </c>
      <c r="G314" s="97">
        <v>1</v>
      </c>
      <c r="H314" s="98" t="s">
        <v>399</v>
      </c>
      <c r="J314" s="99">
        <f>1+Assumptions!$B$11+INDEX(Assumptions!$B$12:$B$15,D314)*Assumptions!$B$16</f>
        <v>1.3</v>
      </c>
      <c r="K314" s="82">
        <f t="shared" si="28"/>
        <v>81900</v>
      </c>
      <c r="L314" s="100">
        <f>IF(E314="Yes",MAX(0,Assumptions!$B$8-G314+1),0)</f>
        <v>8</v>
      </c>
      <c r="M314" s="82">
        <f t="shared" si="29"/>
        <v>54600</v>
      </c>
      <c r="N314" s="100">
        <f>MIN(1,SUMIFS(Roster!$N$5:$N$1504,Roster!$B$5:$B$1504,$A314))</f>
        <v>1</v>
      </c>
      <c r="O314" s="100">
        <f>SUMIFS(Roster!$L$5:$L$1504,Roster!$B$5:$B$1504,$A314)</f>
        <v>8</v>
      </c>
      <c r="P314" s="83">
        <f>SUMIFS(Roster!$M$5:$M$1504,Roster!$B$5:$B$1504,$A314)*J314</f>
        <v>54773.333333333336</v>
      </c>
      <c r="Q314" s="83">
        <f>SUMIFS(Roster!$O$5:$O$1504,Roster!$B$5:$B$1504,$A314)*J314</f>
        <v>82160</v>
      </c>
      <c r="R314" s="82">
        <f t="shared" si="30"/>
        <v>82160</v>
      </c>
      <c r="S314" s="82">
        <f t="shared" si="31"/>
        <v>0</v>
      </c>
      <c r="T314" s="82">
        <f t="shared" si="32"/>
        <v>-173.33333333333576</v>
      </c>
      <c r="U314" s="82">
        <f t="shared" si="33"/>
        <v>0</v>
      </c>
      <c r="V314" s="83">
        <f>IF(COUNTIFS(Roster!$B$5:$B$1504,$A314,Roster!$G$5:$G$1504,"&gt;0")=0,0,SUMIFS(Roster!$H$5:$H$1504,Roster!$B$5:$B$1504,$A314,Roster!$G$5:$G$1504,_xlfn.MAXIFS(Roster!$G$5:$G$1504,Roster!$B$5:$B$1504,$A314)))</f>
        <v>0</v>
      </c>
      <c r="W314" s="101" t="str">
        <f t="shared" si="34"/>
        <v>Filled</v>
      </c>
    </row>
    <row r="315" spans="1:23" x14ac:dyDescent="0.25">
      <c r="A315" s="76" t="s">
        <v>737</v>
      </c>
      <c r="B315" s="76" t="s">
        <v>355</v>
      </c>
      <c r="C315" s="76" t="s">
        <v>693</v>
      </c>
      <c r="D315" s="97">
        <v>1</v>
      </c>
      <c r="E315" s="98" t="s">
        <v>325</v>
      </c>
      <c r="F315" s="78">
        <v>54000</v>
      </c>
      <c r="G315" s="97">
        <v>1</v>
      </c>
      <c r="H315" s="98" t="s">
        <v>399</v>
      </c>
      <c r="J315" s="99">
        <f>1+Assumptions!$B$11+INDEX(Assumptions!$B$12:$B$15,D315)*Assumptions!$B$16</f>
        <v>1.3</v>
      </c>
      <c r="K315" s="82">
        <f t="shared" si="28"/>
        <v>70200</v>
      </c>
      <c r="L315" s="100">
        <f>IF(E315="Yes",MAX(0,Assumptions!$B$8-G315+1),0)</f>
        <v>8</v>
      </c>
      <c r="M315" s="82">
        <f t="shared" si="29"/>
        <v>46800</v>
      </c>
      <c r="N315" s="100">
        <f>MIN(1,SUMIFS(Roster!$N$5:$N$1504,Roster!$B$5:$B$1504,$A315))</f>
        <v>1</v>
      </c>
      <c r="O315" s="100">
        <f>SUMIFS(Roster!$L$5:$L$1504,Roster!$B$5:$B$1504,$A315)</f>
        <v>8</v>
      </c>
      <c r="P315" s="83">
        <f>SUMIFS(Roster!$M$5:$M$1504,Roster!$B$5:$B$1504,$A315)*J315</f>
        <v>46973.333333333336</v>
      </c>
      <c r="Q315" s="83">
        <f>SUMIFS(Roster!$O$5:$O$1504,Roster!$B$5:$B$1504,$A315)*J315</f>
        <v>70460</v>
      </c>
      <c r="R315" s="82">
        <f t="shared" si="30"/>
        <v>70460</v>
      </c>
      <c r="S315" s="82">
        <f t="shared" si="31"/>
        <v>0</v>
      </c>
      <c r="T315" s="82">
        <f t="shared" si="32"/>
        <v>-173.33333333333576</v>
      </c>
      <c r="U315" s="82">
        <f t="shared" si="33"/>
        <v>0</v>
      </c>
      <c r="V315" s="83">
        <f>IF(COUNTIFS(Roster!$B$5:$B$1504,$A315,Roster!$G$5:$G$1504,"&gt;0")=0,0,SUMIFS(Roster!$H$5:$H$1504,Roster!$B$5:$B$1504,$A315,Roster!$G$5:$G$1504,_xlfn.MAXIFS(Roster!$G$5:$G$1504,Roster!$B$5:$B$1504,$A315)))</f>
        <v>0</v>
      </c>
      <c r="W315" s="101" t="str">
        <f t="shared" si="34"/>
        <v>Filled</v>
      </c>
    </row>
    <row r="316" spans="1:23" x14ac:dyDescent="0.25">
      <c r="A316" s="76" t="s">
        <v>738</v>
      </c>
      <c r="B316" s="76" t="s">
        <v>355</v>
      </c>
      <c r="C316" s="76" t="s">
        <v>713</v>
      </c>
      <c r="D316" s="97">
        <v>4</v>
      </c>
      <c r="E316" s="98" t="s">
        <v>325</v>
      </c>
      <c r="F316" s="78">
        <v>159000</v>
      </c>
      <c r="G316" s="97">
        <v>1</v>
      </c>
      <c r="H316" s="98" t="s">
        <v>399</v>
      </c>
      <c r="J316" s="99">
        <f>1+Assumptions!$B$11+INDEX(Assumptions!$B$12:$B$15,D316)*Assumptions!$B$16</f>
        <v>1.5</v>
      </c>
      <c r="K316" s="82">
        <f t="shared" si="28"/>
        <v>238500</v>
      </c>
      <c r="L316" s="100">
        <f>IF(E316="Yes",MAX(0,Assumptions!$B$8-G316+1),0)</f>
        <v>8</v>
      </c>
      <c r="M316" s="82">
        <f t="shared" si="29"/>
        <v>159000</v>
      </c>
      <c r="N316" s="100">
        <f>MIN(1,SUMIFS(Roster!$N$5:$N$1504,Roster!$B$5:$B$1504,$A316))</f>
        <v>1</v>
      </c>
      <c r="O316" s="100">
        <f>SUMIFS(Roster!$L$5:$L$1504,Roster!$B$5:$B$1504,$A316)</f>
        <v>8</v>
      </c>
      <c r="P316" s="83">
        <f>SUMIFS(Roster!$M$5:$M$1504,Roster!$B$5:$B$1504,$A316)*J316</f>
        <v>156700</v>
      </c>
      <c r="Q316" s="83">
        <f>SUMIFS(Roster!$O$5:$O$1504,Roster!$B$5:$B$1504,$A316)*J316</f>
        <v>235050</v>
      </c>
      <c r="R316" s="82">
        <f t="shared" si="30"/>
        <v>235050</v>
      </c>
      <c r="S316" s="82">
        <f t="shared" si="31"/>
        <v>0</v>
      </c>
      <c r="T316" s="82">
        <f t="shared" si="32"/>
        <v>2300</v>
      </c>
      <c r="U316" s="82">
        <f t="shared" si="33"/>
        <v>0</v>
      </c>
      <c r="V316" s="83">
        <f>IF(COUNTIFS(Roster!$B$5:$B$1504,$A316,Roster!$G$5:$G$1504,"&gt;0")=0,0,SUMIFS(Roster!$H$5:$H$1504,Roster!$B$5:$B$1504,$A316,Roster!$G$5:$G$1504,_xlfn.MAXIFS(Roster!$G$5:$G$1504,Roster!$B$5:$B$1504,$A316)))</f>
        <v>0</v>
      </c>
      <c r="W316" s="101" t="str">
        <f t="shared" si="34"/>
        <v>Filled</v>
      </c>
    </row>
    <row r="317" spans="1:23" x14ac:dyDescent="0.25">
      <c r="A317" s="76" t="s">
        <v>739</v>
      </c>
      <c r="B317" s="76" t="s">
        <v>355</v>
      </c>
      <c r="C317" s="76" t="s">
        <v>702</v>
      </c>
      <c r="D317" s="97">
        <v>3</v>
      </c>
      <c r="E317" s="98" t="s">
        <v>325</v>
      </c>
      <c r="F317" s="78">
        <v>111000</v>
      </c>
      <c r="G317" s="97">
        <v>1</v>
      </c>
      <c r="H317" s="98" t="s">
        <v>399</v>
      </c>
      <c r="J317" s="99">
        <f>1+Assumptions!$B$11+INDEX(Assumptions!$B$12:$B$15,D317)*Assumptions!$B$16</f>
        <v>1.4</v>
      </c>
      <c r="K317" s="82">
        <f t="shared" si="28"/>
        <v>155400</v>
      </c>
      <c r="L317" s="100">
        <f>IF(E317="Yes",MAX(0,Assumptions!$B$8-G317+1),0)</f>
        <v>8</v>
      </c>
      <c r="M317" s="82">
        <f t="shared" si="29"/>
        <v>103600</v>
      </c>
      <c r="N317" s="100">
        <f>MIN(1,SUMIFS(Roster!$N$5:$N$1504,Roster!$B$5:$B$1504,$A317))</f>
        <v>1</v>
      </c>
      <c r="O317" s="100">
        <f>SUMIFS(Roster!$L$5:$L$1504,Roster!$B$5:$B$1504,$A317)</f>
        <v>8</v>
      </c>
      <c r="P317" s="83">
        <f>SUMIFS(Roster!$M$5:$M$1504,Roster!$B$5:$B$1504,$A317)*J317</f>
        <v>102573.33333333333</v>
      </c>
      <c r="Q317" s="83">
        <f>SUMIFS(Roster!$O$5:$O$1504,Roster!$B$5:$B$1504,$A317)*J317</f>
        <v>153860</v>
      </c>
      <c r="R317" s="82">
        <f t="shared" si="30"/>
        <v>153860</v>
      </c>
      <c r="S317" s="82">
        <f t="shared" si="31"/>
        <v>0</v>
      </c>
      <c r="T317" s="82">
        <f t="shared" si="32"/>
        <v>1026.6666666666715</v>
      </c>
      <c r="U317" s="82">
        <f t="shared" si="33"/>
        <v>0</v>
      </c>
      <c r="V317" s="83">
        <f>IF(COUNTIFS(Roster!$B$5:$B$1504,$A317,Roster!$G$5:$G$1504,"&gt;0")=0,0,SUMIFS(Roster!$H$5:$H$1504,Roster!$B$5:$B$1504,$A317,Roster!$G$5:$G$1504,_xlfn.MAXIFS(Roster!$G$5:$G$1504,Roster!$B$5:$B$1504,$A317)))</f>
        <v>0</v>
      </c>
      <c r="W317" s="101" t="str">
        <f t="shared" si="34"/>
        <v>Filled</v>
      </c>
    </row>
    <row r="318" spans="1:23" x14ac:dyDescent="0.25">
      <c r="A318" s="76" t="s">
        <v>740</v>
      </c>
      <c r="B318" s="76" t="s">
        <v>355</v>
      </c>
      <c r="C318" s="76" t="s">
        <v>705</v>
      </c>
      <c r="D318" s="97">
        <v>2</v>
      </c>
      <c r="E318" s="98" t="s">
        <v>325</v>
      </c>
      <c r="F318" s="78">
        <v>86500</v>
      </c>
      <c r="G318" s="97">
        <v>1</v>
      </c>
      <c r="H318" s="98" t="s">
        <v>399</v>
      </c>
      <c r="J318" s="99">
        <f>1+Assumptions!$B$11+INDEX(Assumptions!$B$12:$B$15,D318)*Assumptions!$B$16</f>
        <v>1.35</v>
      </c>
      <c r="K318" s="82">
        <f t="shared" si="28"/>
        <v>116775.00000000001</v>
      </c>
      <c r="L318" s="100">
        <f>IF(E318="Yes",MAX(0,Assumptions!$B$8-G318+1),0)</f>
        <v>8</v>
      </c>
      <c r="M318" s="82">
        <f t="shared" si="29"/>
        <v>77850.000000000015</v>
      </c>
      <c r="N318" s="100">
        <f>MIN(1,SUMIFS(Roster!$N$5:$N$1504,Roster!$B$5:$B$1504,$A318))</f>
        <v>1</v>
      </c>
      <c r="O318" s="100">
        <f>SUMIFS(Roster!$L$5:$L$1504,Roster!$B$5:$B$1504,$A318)</f>
        <v>8</v>
      </c>
      <c r="P318" s="83">
        <f>SUMIFS(Roster!$M$5:$M$1504,Roster!$B$5:$B$1504,$A318)*J318</f>
        <v>78300</v>
      </c>
      <c r="Q318" s="83">
        <f>SUMIFS(Roster!$O$5:$O$1504,Roster!$B$5:$B$1504,$A318)*J318</f>
        <v>117450.00000000001</v>
      </c>
      <c r="R318" s="82">
        <f t="shared" si="30"/>
        <v>117450.00000000001</v>
      </c>
      <c r="S318" s="82">
        <f t="shared" si="31"/>
        <v>0</v>
      </c>
      <c r="T318" s="82">
        <f t="shared" si="32"/>
        <v>-449.99999999998545</v>
      </c>
      <c r="U318" s="82">
        <f t="shared" si="33"/>
        <v>0</v>
      </c>
      <c r="V318" s="83">
        <f>IF(COUNTIFS(Roster!$B$5:$B$1504,$A318,Roster!$G$5:$G$1504,"&gt;0")=0,0,SUMIFS(Roster!$H$5:$H$1504,Roster!$B$5:$B$1504,$A318,Roster!$G$5:$G$1504,_xlfn.MAXIFS(Roster!$G$5:$G$1504,Roster!$B$5:$B$1504,$A318)))</f>
        <v>0</v>
      </c>
      <c r="W318" s="101" t="str">
        <f t="shared" si="34"/>
        <v>Filled</v>
      </c>
    </row>
    <row r="319" spans="1:23" x14ac:dyDescent="0.25">
      <c r="A319" s="76" t="s">
        <v>741</v>
      </c>
      <c r="B319" s="76" t="s">
        <v>355</v>
      </c>
      <c r="C319" s="76" t="s">
        <v>705</v>
      </c>
      <c r="D319" s="97">
        <v>2</v>
      </c>
      <c r="E319" s="98" t="s">
        <v>325</v>
      </c>
      <c r="F319" s="78">
        <v>96000</v>
      </c>
      <c r="G319" s="97">
        <v>1</v>
      </c>
      <c r="H319" s="98" t="s">
        <v>399</v>
      </c>
      <c r="J319" s="99">
        <f>1+Assumptions!$B$11+INDEX(Assumptions!$B$12:$B$15,D319)*Assumptions!$B$16</f>
        <v>1.35</v>
      </c>
      <c r="K319" s="82">
        <f t="shared" si="28"/>
        <v>129600.00000000001</v>
      </c>
      <c r="L319" s="100">
        <f>IF(E319="Yes",MAX(0,Assumptions!$B$8-G319+1),0)</f>
        <v>8</v>
      </c>
      <c r="M319" s="82">
        <f t="shared" si="29"/>
        <v>86400.000000000015</v>
      </c>
      <c r="N319" s="100">
        <f>MIN(1,SUMIFS(Roster!$N$5:$N$1504,Roster!$B$5:$B$1504,$A319))</f>
        <v>1</v>
      </c>
      <c r="O319" s="100">
        <f>SUMIFS(Roster!$L$5:$L$1504,Roster!$B$5:$B$1504,$A319)</f>
        <v>8</v>
      </c>
      <c r="P319" s="83">
        <f>SUMIFS(Roster!$M$5:$M$1504,Roster!$B$5:$B$1504,$A319)*J319</f>
        <v>87390.000000000015</v>
      </c>
      <c r="Q319" s="83">
        <f>SUMIFS(Roster!$O$5:$O$1504,Roster!$B$5:$B$1504,$A319)*J319</f>
        <v>131085</v>
      </c>
      <c r="R319" s="82">
        <f t="shared" si="30"/>
        <v>131085</v>
      </c>
      <c r="S319" s="82">
        <f t="shared" si="31"/>
        <v>0</v>
      </c>
      <c r="T319" s="82">
        <f t="shared" si="32"/>
        <v>-990</v>
      </c>
      <c r="U319" s="82">
        <f t="shared" si="33"/>
        <v>0</v>
      </c>
      <c r="V319" s="83">
        <f>IF(COUNTIFS(Roster!$B$5:$B$1504,$A319,Roster!$G$5:$G$1504,"&gt;0")=0,0,SUMIFS(Roster!$H$5:$H$1504,Roster!$B$5:$B$1504,$A319,Roster!$G$5:$G$1504,_xlfn.MAXIFS(Roster!$G$5:$G$1504,Roster!$B$5:$B$1504,$A319)))</f>
        <v>0</v>
      </c>
      <c r="W319" s="101" t="str">
        <f t="shared" si="34"/>
        <v>Filled</v>
      </c>
    </row>
    <row r="320" spans="1:23" x14ac:dyDescent="0.25">
      <c r="A320" s="76" t="s">
        <v>742</v>
      </c>
      <c r="B320" s="76" t="s">
        <v>355</v>
      </c>
      <c r="C320" s="76" t="s">
        <v>713</v>
      </c>
      <c r="D320" s="97">
        <v>4</v>
      </c>
      <c r="E320" s="98" t="s">
        <v>325</v>
      </c>
      <c r="F320" s="78">
        <v>183500</v>
      </c>
      <c r="G320" s="97">
        <v>1</v>
      </c>
      <c r="H320" s="98" t="s">
        <v>399</v>
      </c>
      <c r="J320" s="99">
        <f>1+Assumptions!$B$11+INDEX(Assumptions!$B$12:$B$15,D320)*Assumptions!$B$16</f>
        <v>1.5</v>
      </c>
      <c r="K320" s="82">
        <f t="shared" si="28"/>
        <v>275250</v>
      </c>
      <c r="L320" s="100">
        <f>IF(E320="Yes",MAX(0,Assumptions!$B$8-G320+1),0)</f>
        <v>8</v>
      </c>
      <c r="M320" s="82">
        <f t="shared" si="29"/>
        <v>183500</v>
      </c>
      <c r="N320" s="100">
        <f>MIN(1,SUMIFS(Roster!$N$5:$N$1504,Roster!$B$5:$B$1504,$A320))</f>
        <v>1</v>
      </c>
      <c r="O320" s="100">
        <f>SUMIFS(Roster!$L$5:$L$1504,Roster!$B$5:$B$1504,$A320)</f>
        <v>8</v>
      </c>
      <c r="P320" s="83">
        <f>SUMIFS(Roster!$M$5:$M$1504,Roster!$B$5:$B$1504,$A320)*J320</f>
        <v>181400</v>
      </c>
      <c r="Q320" s="83">
        <f>SUMIFS(Roster!$O$5:$O$1504,Roster!$B$5:$B$1504,$A320)*J320</f>
        <v>272100</v>
      </c>
      <c r="R320" s="82">
        <f t="shared" si="30"/>
        <v>272100</v>
      </c>
      <c r="S320" s="82">
        <f t="shared" si="31"/>
        <v>0</v>
      </c>
      <c r="T320" s="82">
        <f t="shared" si="32"/>
        <v>2100</v>
      </c>
      <c r="U320" s="82">
        <f t="shared" si="33"/>
        <v>0</v>
      </c>
      <c r="V320" s="83">
        <f>IF(COUNTIFS(Roster!$B$5:$B$1504,$A320,Roster!$G$5:$G$1504,"&gt;0")=0,0,SUMIFS(Roster!$H$5:$H$1504,Roster!$B$5:$B$1504,$A320,Roster!$G$5:$G$1504,_xlfn.MAXIFS(Roster!$G$5:$G$1504,Roster!$B$5:$B$1504,$A320)))</f>
        <v>0</v>
      </c>
      <c r="W320" s="101" t="str">
        <f t="shared" si="34"/>
        <v>Filled</v>
      </c>
    </row>
    <row r="321" spans="1:23" x14ac:dyDescent="0.25">
      <c r="A321" s="76" t="s">
        <v>743</v>
      </c>
      <c r="B321" s="76" t="s">
        <v>355</v>
      </c>
      <c r="C321" s="76" t="s">
        <v>693</v>
      </c>
      <c r="D321" s="97">
        <v>1</v>
      </c>
      <c r="E321" s="98" t="s">
        <v>325</v>
      </c>
      <c r="F321" s="78">
        <v>66500</v>
      </c>
      <c r="G321" s="97">
        <v>1</v>
      </c>
      <c r="H321" s="98" t="s">
        <v>399</v>
      </c>
      <c r="J321" s="99">
        <f>1+Assumptions!$B$11+INDEX(Assumptions!$B$12:$B$15,D321)*Assumptions!$B$16</f>
        <v>1.3</v>
      </c>
      <c r="K321" s="82">
        <f t="shared" si="28"/>
        <v>86450</v>
      </c>
      <c r="L321" s="100">
        <f>IF(E321="Yes",MAX(0,Assumptions!$B$8-G321+1),0)</f>
        <v>8</v>
      </c>
      <c r="M321" s="82">
        <f t="shared" si="29"/>
        <v>57633.333333333336</v>
      </c>
      <c r="N321" s="100">
        <f>MIN(1,SUMIFS(Roster!$N$5:$N$1504,Roster!$B$5:$B$1504,$A321))</f>
        <v>1</v>
      </c>
      <c r="O321" s="100">
        <f>SUMIFS(Roster!$L$5:$L$1504,Roster!$B$5:$B$1504,$A321)</f>
        <v>8</v>
      </c>
      <c r="P321" s="83">
        <f>SUMIFS(Roster!$M$5:$M$1504,Roster!$B$5:$B$1504,$A321)*J321</f>
        <v>56853.333333333336</v>
      </c>
      <c r="Q321" s="83">
        <f>SUMIFS(Roster!$O$5:$O$1504,Roster!$B$5:$B$1504,$A321)*J321</f>
        <v>85280</v>
      </c>
      <c r="R321" s="82">
        <f t="shared" si="30"/>
        <v>85280</v>
      </c>
      <c r="S321" s="82">
        <f t="shared" si="31"/>
        <v>0</v>
      </c>
      <c r="T321" s="82">
        <f t="shared" si="32"/>
        <v>780</v>
      </c>
      <c r="U321" s="82">
        <f t="shared" si="33"/>
        <v>0</v>
      </c>
      <c r="V321" s="83">
        <f>IF(COUNTIFS(Roster!$B$5:$B$1504,$A321,Roster!$G$5:$G$1504,"&gt;0")=0,0,SUMIFS(Roster!$H$5:$H$1504,Roster!$B$5:$B$1504,$A321,Roster!$G$5:$G$1504,_xlfn.MAXIFS(Roster!$G$5:$G$1504,Roster!$B$5:$B$1504,$A321)))</f>
        <v>0</v>
      </c>
      <c r="W321" s="101" t="str">
        <f t="shared" si="34"/>
        <v>Filled</v>
      </c>
    </row>
    <row r="322" spans="1:23" x14ac:dyDescent="0.25">
      <c r="A322" s="76" t="s">
        <v>744</v>
      </c>
      <c r="B322" s="76" t="s">
        <v>355</v>
      </c>
      <c r="C322" s="76" t="s">
        <v>702</v>
      </c>
      <c r="D322" s="97">
        <v>3</v>
      </c>
      <c r="E322" s="98" t="s">
        <v>325</v>
      </c>
      <c r="F322" s="78">
        <v>119500</v>
      </c>
      <c r="G322" s="97">
        <v>1</v>
      </c>
      <c r="H322" s="98" t="s">
        <v>399</v>
      </c>
      <c r="J322" s="99">
        <f>1+Assumptions!$B$11+INDEX(Assumptions!$B$12:$B$15,D322)*Assumptions!$B$16</f>
        <v>1.4</v>
      </c>
      <c r="K322" s="82">
        <f t="shared" si="28"/>
        <v>167300</v>
      </c>
      <c r="L322" s="100">
        <f>IF(E322="Yes",MAX(0,Assumptions!$B$8-G322+1),0)</f>
        <v>8</v>
      </c>
      <c r="M322" s="82">
        <f t="shared" si="29"/>
        <v>111533.33333333333</v>
      </c>
      <c r="N322" s="100">
        <f>MIN(1,SUMIFS(Roster!$N$5:$N$1504,Roster!$B$5:$B$1504,$A322))</f>
        <v>1</v>
      </c>
      <c r="O322" s="100">
        <f>SUMIFS(Roster!$L$5:$L$1504,Roster!$B$5:$B$1504,$A322)</f>
        <v>8</v>
      </c>
      <c r="P322" s="83">
        <f>SUMIFS(Roster!$M$5:$M$1504,Roster!$B$5:$B$1504,$A322)*J322</f>
        <v>112560</v>
      </c>
      <c r="Q322" s="83">
        <f>SUMIFS(Roster!$O$5:$O$1504,Roster!$B$5:$B$1504,$A322)*J322</f>
        <v>168840</v>
      </c>
      <c r="R322" s="82">
        <f t="shared" si="30"/>
        <v>168840</v>
      </c>
      <c r="S322" s="82">
        <f t="shared" si="31"/>
        <v>0</v>
      </c>
      <c r="T322" s="82">
        <f t="shared" si="32"/>
        <v>-1026.6666666666715</v>
      </c>
      <c r="U322" s="82">
        <f t="shared" si="33"/>
        <v>0</v>
      </c>
      <c r="V322" s="83">
        <f>IF(COUNTIFS(Roster!$B$5:$B$1504,$A322,Roster!$G$5:$G$1504,"&gt;0")=0,0,SUMIFS(Roster!$H$5:$H$1504,Roster!$B$5:$B$1504,$A322,Roster!$G$5:$G$1504,_xlfn.MAXIFS(Roster!$G$5:$G$1504,Roster!$B$5:$B$1504,$A322)))</f>
        <v>0</v>
      </c>
      <c r="W322" s="101" t="str">
        <f t="shared" si="34"/>
        <v>Filled</v>
      </c>
    </row>
    <row r="323" spans="1:23" x14ac:dyDescent="0.25">
      <c r="A323" s="76" t="s">
        <v>745</v>
      </c>
      <c r="B323" s="76" t="s">
        <v>355</v>
      </c>
      <c r="C323" s="76" t="s">
        <v>693</v>
      </c>
      <c r="D323" s="97">
        <v>1</v>
      </c>
      <c r="E323" s="98" t="s">
        <v>325</v>
      </c>
      <c r="F323" s="78">
        <v>66000</v>
      </c>
      <c r="G323" s="97">
        <v>1</v>
      </c>
      <c r="H323" s="98" t="s">
        <v>399</v>
      </c>
      <c r="J323" s="99">
        <f>1+Assumptions!$B$11+INDEX(Assumptions!$B$12:$B$15,D323)*Assumptions!$B$16</f>
        <v>1.3</v>
      </c>
      <c r="K323" s="82">
        <f t="shared" si="28"/>
        <v>85800</v>
      </c>
      <c r="L323" s="100">
        <f>IF(E323="Yes",MAX(0,Assumptions!$B$8-G323+1),0)</f>
        <v>8</v>
      </c>
      <c r="M323" s="82">
        <f t="shared" si="29"/>
        <v>57200</v>
      </c>
      <c r="N323" s="100">
        <f>MIN(1,SUMIFS(Roster!$N$5:$N$1504,Roster!$B$5:$B$1504,$A323))</f>
        <v>1</v>
      </c>
      <c r="O323" s="100">
        <f>SUMIFS(Roster!$L$5:$L$1504,Roster!$B$5:$B$1504,$A323)</f>
        <v>8</v>
      </c>
      <c r="P323" s="83">
        <f>SUMIFS(Roster!$M$5:$M$1504,Roster!$B$5:$B$1504,$A323)*J323</f>
        <v>57720</v>
      </c>
      <c r="Q323" s="83">
        <f>SUMIFS(Roster!$O$5:$O$1504,Roster!$B$5:$B$1504,$A323)*J323</f>
        <v>86580</v>
      </c>
      <c r="R323" s="82">
        <f t="shared" si="30"/>
        <v>86580</v>
      </c>
      <c r="S323" s="82">
        <f t="shared" si="31"/>
        <v>0</v>
      </c>
      <c r="T323" s="82">
        <f t="shared" si="32"/>
        <v>-520</v>
      </c>
      <c r="U323" s="82">
        <f t="shared" si="33"/>
        <v>0</v>
      </c>
      <c r="V323" s="83">
        <f>IF(COUNTIFS(Roster!$B$5:$B$1504,$A323,Roster!$G$5:$G$1504,"&gt;0")=0,0,SUMIFS(Roster!$H$5:$H$1504,Roster!$B$5:$B$1504,$A323,Roster!$G$5:$G$1504,_xlfn.MAXIFS(Roster!$G$5:$G$1504,Roster!$B$5:$B$1504,$A323)))</f>
        <v>0</v>
      </c>
      <c r="W323" s="101" t="str">
        <f t="shared" si="34"/>
        <v>Filled</v>
      </c>
    </row>
    <row r="324" spans="1:23" x14ac:dyDescent="0.25">
      <c r="A324" s="76" t="s">
        <v>746</v>
      </c>
      <c r="B324" s="76" t="s">
        <v>355</v>
      </c>
      <c r="C324" s="76" t="s">
        <v>693</v>
      </c>
      <c r="D324" s="97">
        <v>1</v>
      </c>
      <c r="E324" s="98" t="s">
        <v>325</v>
      </c>
      <c r="F324" s="78">
        <v>52000</v>
      </c>
      <c r="G324" s="97">
        <v>1</v>
      </c>
      <c r="H324" s="98" t="s">
        <v>399</v>
      </c>
      <c r="J324" s="99">
        <f>1+Assumptions!$B$11+INDEX(Assumptions!$B$12:$B$15,D324)*Assumptions!$B$16</f>
        <v>1.3</v>
      </c>
      <c r="K324" s="82">
        <f t="shared" si="28"/>
        <v>67600</v>
      </c>
      <c r="L324" s="100">
        <f>IF(E324="Yes",MAX(0,Assumptions!$B$8-G324+1),0)</f>
        <v>8</v>
      </c>
      <c r="M324" s="82">
        <f t="shared" si="29"/>
        <v>45066.666666666664</v>
      </c>
      <c r="N324" s="100">
        <f>MIN(1,SUMIFS(Roster!$N$5:$N$1504,Roster!$B$5:$B$1504,$A324))</f>
        <v>1</v>
      </c>
      <c r="O324" s="100">
        <f>SUMIFS(Roster!$L$5:$L$1504,Roster!$B$5:$B$1504,$A324)</f>
        <v>8</v>
      </c>
      <c r="P324" s="83">
        <f>SUMIFS(Roster!$M$5:$M$1504,Roster!$B$5:$B$1504,$A324)*J324</f>
        <v>45500</v>
      </c>
      <c r="Q324" s="83">
        <f>SUMIFS(Roster!$O$5:$O$1504,Roster!$B$5:$B$1504,$A324)*J324</f>
        <v>68250</v>
      </c>
      <c r="R324" s="82">
        <f t="shared" si="30"/>
        <v>68250</v>
      </c>
      <c r="S324" s="82">
        <f t="shared" si="31"/>
        <v>0</v>
      </c>
      <c r="T324" s="82">
        <f t="shared" si="32"/>
        <v>-433.33333333333576</v>
      </c>
      <c r="U324" s="82">
        <f t="shared" si="33"/>
        <v>0</v>
      </c>
      <c r="V324" s="83">
        <f>IF(COUNTIFS(Roster!$B$5:$B$1504,$A324,Roster!$G$5:$G$1504,"&gt;0")=0,0,SUMIFS(Roster!$H$5:$H$1504,Roster!$B$5:$B$1504,$A324,Roster!$G$5:$G$1504,_xlfn.MAXIFS(Roster!$G$5:$G$1504,Roster!$B$5:$B$1504,$A324)))</f>
        <v>0</v>
      </c>
      <c r="W324" s="101" t="str">
        <f t="shared" si="34"/>
        <v>Filled</v>
      </c>
    </row>
    <row r="325" spans="1:23" x14ac:dyDescent="0.25">
      <c r="A325" s="76" t="s">
        <v>747</v>
      </c>
      <c r="B325" s="76" t="s">
        <v>355</v>
      </c>
      <c r="C325" s="76" t="s">
        <v>693</v>
      </c>
      <c r="D325" s="97">
        <v>1</v>
      </c>
      <c r="E325" s="98" t="s">
        <v>325</v>
      </c>
      <c r="F325" s="78">
        <v>54000</v>
      </c>
      <c r="G325" s="97">
        <v>1</v>
      </c>
      <c r="H325" s="98" t="s">
        <v>399</v>
      </c>
      <c r="J325" s="99">
        <f>1+Assumptions!$B$11+INDEX(Assumptions!$B$12:$B$15,D325)*Assumptions!$B$16</f>
        <v>1.3</v>
      </c>
      <c r="K325" s="82">
        <f t="shared" ref="K325:K388" si="35">IF(E325="Yes",F325*J325,0)</f>
        <v>70200</v>
      </c>
      <c r="L325" s="100">
        <f>IF(E325="Yes",MAX(0,Assumptions!$B$8-G325+1),0)</f>
        <v>8</v>
      </c>
      <c r="M325" s="82">
        <f t="shared" ref="M325:M388" si="36">K325/12*L325</f>
        <v>46800</v>
      </c>
      <c r="N325" s="100">
        <f>MIN(1,SUMIFS(Roster!$N$5:$N$1504,Roster!$B$5:$B$1504,$A325))</f>
        <v>1</v>
      </c>
      <c r="O325" s="100">
        <f>SUMIFS(Roster!$L$5:$L$1504,Roster!$B$5:$B$1504,$A325)</f>
        <v>8</v>
      </c>
      <c r="P325" s="83">
        <f>SUMIFS(Roster!$M$5:$M$1504,Roster!$B$5:$B$1504,$A325)*J325</f>
        <v>46973.333333333336</v>
      </c>
      <c r="Q325" s="83">
        <f>SUMIFS(Roster!$O$5:$O$1504,Roster!$B$5:$B$1504,$A325)*J325</f>
        <v>70460</v>
      </c>
      <c r="R325" s="82">
        <f t="shared" ref="R325:R388" si="37">IF(N325=1,Q325,IF(AND(E325="Yes",H325="Fill"),K325,0))</f>
        <v>70460</v>
      </c>
      <c r="S325" s="82">
        <f t="shared" ref="S325:S388" si="38">(L325-O325)*K325/12</f>
        <v>0</v>
      </c>
      <c r="T325" s="82">
        <f t="shared" ref="T325:T388" si="39">IF(E325="Yes",O325*K325/12-P325,0)</f>
        <v>-173.33333333333576</v>
      </c>
      <c r="U325" s="82">
        <f t="shared" ref="U325:U388" si="40">IF(E325="No",-P325,0)</f>
        <v>0</v>
      </c>
      <c r="V325" s="83">
        <f>IF(COUNTIFS(Roster!$B$5:$B$1504,$A325,Roster!$G$5:$G$1504,"&gt;0")=0,0,SUMIFS(Roster!$H$5:$H$1504,Roster!$B$5:$B$1504,$A325,Roster!$G$5:$G$1504,_xlfn.MAXIFS(Roster!$G$5:$G$1504,Roster!$B$5:$B$1504,$A325)))</f>
        <v>0</v>
      </c>
      <c r="W325" s="101" t="str">
        <f t="shared" ref="W325:W388" si="41">IF(N325=1,IF(E325="Yes","Filled","Unbudgeted hire"),IF(E325="Yes",IF(H325="Hold","Open: on hold","Open: to fill"),"Unbudgeted (left)"))</f>
        <v>Filled</v>
      </c>
    </row>
    <row r="326" spans="1:23" x14ac:dyDescent="0.25">
      <c r="A326" s="76" t="s">
        <v>748</v>
      </c>
      <c r="B326" s="76" t="s">
        <v>355</v>
      </c>
      <c r="C326" s="76" t="s">
        <v>693</v>
      </c>
      <c r="D326" s="97">
        <v>1</v>
      </c>
      <c r="E326" s="98" t="s">
        <v>325</v>
      </c>
      <c r="F326" s="78">
        <v>66500</v>
      </c>
      <c r="G326" s="97">
        <v>1</v>
      </c>
      <c r="H326" s="98" t="s">
        <v>399</v>
      </c>
      <c r="J326" s="99">
        <f>1+Assumptions!$B$11+INDEX(Assumptions!$B$12:$B$15,D326)*Assumptions!$B$16</f>
        <v>1.3</v>
      </c>
      <c r="K326" s="82">
        <f t="shared" si="35"/>
        <v>86450</v>
      </c>
      <c r="L326" s="100">
        <f>IF(E326="Yes",MAX(0,Assumptions!$B$8-G326+1),0)</f>
        <v>8</v>
      </c>
      <c r="M326" s="82">
        <f t="shared" si="36"/>
        <v>57633.333333333336</v>
      </c>
      <c r="N326" s="100">
        <f>MIN(1,SUMIFS(Roster!$N$5:$N$1504,Roster!$B$5:$B$1504,$A326))</f>
        <v>1</v>
      </c>
      <c r="O326" s="100">
        <f>SUMIFS(Roster!$L$5:$L$1504,Roster!$B$5:$B$1504,$A326)</f>
        <v>8</v>
      </c>
      <c r="P326" s="83">
        <f>SUMIFS(Roster!$M$5:$M$1504,Roster!$B$5:$B$1504,$A326)*J326</f>
        <v>57026.666666666664</v>
      </c>
      <c r="Q326" s="83">
        <f>SUMIFS(Roster!$O$5:$O$1504,Roster!$B$5:$B$1504,$A326)*J326</f>
        <v>85540</v>
      </c>
      <c r="R326" s="82">
        <f t="shared" si="37"/>
        <v>85540</v>
      </c>
      <c r="S326" s="82">
        <f t="shared" si="38"/>
        <v>0</v>
      </c>
      <c r="T326" s="82">
        <f t="shared" si="39"/>
        <v>606.66666666667152</v>
      </c>
      <c r="U326" s="82">
        <f t="shared" si="40"/>
        <v>0</v>
      </c>
      <c r="V326" s="83">
        <f>IF(COUNTIFS(Roster!$B$5:$B$1504,$A326,Roster!$G$5:$G$1504,"&gt;0")=0,0,SUMIFS(Roster!$H$5:$H$1504,Roster!$B$5:$B$1504,$A326,Roster!$G$5:$G$1504,_xlfn.MAXIFS(Roster!$G$5:$G$1504,Roster!$B$5:$B$1504,$A326)))</f>
        <v>0</v>
      </c>
      <c r="W326" s="101" t="str">
        <f t="shared" si="41"/>
        <v>Filled</v>
      </c>
    </row>
    <row r="327" spans="1:23" x14ac:dyDescent="0.25">
      <c r="A327" s="76" t="s">
        <v>749</v>
      </c>
      <c r="B327" s="76" t="s">
        <v>355</v>
      </c>
      <c r="C327" s="76" t="s">
        <v>691</v>
      </c>
      <c r="D327" s="97">
        <v>2</v>
      </c>
      <c r="E327" s="98" t="s">
        <v>325</v>
      </c>
      <c r="F327" s="78">
        <v>84500</v>
      </c>
      <c r="G327" s="97">
        <v>1</v>
      </c>
      <c r="H327" s="98" t="s">
        <v>399</v>
      </c>
      <c r="J327" s="99">
        <f>1+Assumptions!$B$11+INDEX(Assumptions!$B$12:$B$15,D327)*Assumptions!$B$16</f>
        <v>1.35</v>
      </c>
      <c r="K327" s="82">
        <f t="shared" si="35"/>
        <v>114075.00000000001</v>
      </c>
      <c r="L327" s="100">
        <f>IF(E327="Yes",MAX(0,Assumptions!$B$8-G327+1),0)</f>
        <v>8</v>
      </c>
      <c r="M327" s="82">
        <f t="shared" si="36"/>
        <v>76050.000000000015</v>
      </c>
      <c r="N327" s="100">
        <f>MIN(1,SUMIFS(Roster!$N$5:$N$1504,Roster!$B$5:$B$1504,$A327))</f>
        <v>1</v>
      </c>
      <c r="O327" s="100">
        <f>SUMIFS(Roster!$L$5:$L$1504,Roster!$B$5:$B$1504,$A327)</f>
        <v>8</v>
      </c>
      <c r="P327" s="83">
        <f>SUMIFS(Roster!$M$5:$M$1504,Roster!$B$5:$B$1504,$A327)*J327</f>
        <v>75150</v>
      </c>
      <c r="Q327" s="83">
        <f>SUMIFS(Roster!$O$5:$O$1504,Roster!$B$5:$B$1504,$A327)*J327</f>
        <v>112725.00000000001</v>
      </c>
      <c r="R327" s="82">
        <f t="shared" si="37"/>
        <v>112725.00000000001</v>
      </c>
      <c r="S327" s="82">
        <f t="shared" si="38"/>
        <v>0</v>
      </c>
      <c r="T327" s="82">
        <f t="shared" si="39"/>
        <v>900.00000000001455</v>
      </c>
      <c r="U327" s="82">
        <f t="shared" si="40"/>
        <v>0</v>
      </c>
      <c r="V327" s="83">
        <f>IF(COUNTIFS(Roster!$B$5:$B$1504,$A327,Roster!$G$5:$G$1504,"&gt;0")=0,0,SUMIFS(Roster!$H$5:$H$1504,Roster!$B$5:$B$1504,$A327,Roster!$G$5:$G$1504,_xlfn.MAXIFS(Roster!$G$5:$G$1504,Roster!$B$5:$B$1504,$A327)))</f>
        <v>0</v>
      </c>
      <c r="W327" s="101" t="str">
        <f t="shared" si="41"/>
        <v>Filled</v>
      </c>
    </row>
    <row r="328" spans="1:23" x14ac:dyDescent="0.25">
      <c r="A328" s="76" t="s">
        <v>750</v>
      </c>
      <c r="B328" s="76" t="s">
        <v>355</v>
      </c>
      <c r="C328" s="76" t="s">
        <v>691</v>
      </c>
      <c r="D328" s="97">
        <v>2</v>
      </c>
      <c r="E328" s="98" t="s">
        <v>325</v>
      </c>
      <c r="F328" s="78">
        <v>89000</v>
      </c>
      <c r="G328" s="97">
        <v>1</v>
      </c>
      <c r="H328" s="98" t="s">
        <v>399</v>
      </c>
      <c r="J328" s="99">
        <f>1+Assumptions!$B$11+INDEX(Assumptions!$B$12:$B$15,D328)*Assumptions!$B$16</f>
        <v>1.35</v>
      </c>
      <c r="K328" s="82">
        <f t="shared" si="35"/>
        <v>120150.00000000001</v>
      </c>
      <c r="L328" s="100">
        <f>IF(E328="Yes",MAX(0,Assumptions!$B$8-G328+1),0)</f>
        <v>8</v>
      </c>
      <c r="M328" s="82">
        <f t="shared" si="36"/>
        <v>80100.000000000015</v>
      </c>
      <c r="N328" s="100">
        <f>MIN(1,SUMIFS(Roster!$N$5:$N$1504,Roster!$B$5:$B$1504,$A328))</f>
        <v>1</v>
      </c>
      <c r="O328" s="100">
        <f>SUMIFS(Roster!$L$5:$L$1504,Roster!$B$5:$B$1504,$A328)</f>
        <v>6</v>
      </c>
      <c r="P328" s="83">
        <f>SUMIFS(Roster!$M$5:$M$1504,Roster!$B$5:$B$1504,$A328)*J328</f>
        <v>62471.250000000007</v>
      </c>
      <c r="Q328" s="83">
        <f>SUMIFS(Roster!$O$5:$O$1504,Roster!$B$5:$B$1504,$A328)*J328</f>
        <v>126225.00000000001</v>
      </c>
      <c r="R328" s="82">
        <f t="shared" si="37"/>
        <v>126225.00000000001</v>
      </c>
      <c r="S328" s="82">
        <f t="shared" si="38"/>
        <v>20025.000000000004</v>
      </c>
      <c r="T328" s="82">
        <f t="shared" si="39"/>
        <v>-2396.25</v>
      </c>
      <c r="U328" s="82">
        <f t="shared" si="40"/>
        <v>0</v>
      </c>
      <c r="V328" s="83">
        <f>IF(COUNTIFS(Roster!$B$5:$B$1504,$A328,Roster!$G$5:$G$1504,"&gt;0")=0,0,SUMIFS(Roster!$H$5:$H$1504,Roster!$B$5:$B$1504,$A328,Roster!$G$5:$G$1504,_xlfn.MAXIFS(Roster!$G$5:$G$1504,Roster!$B$5:$B$1504,$A328)))</f>
        <v>87800</v>
      </c>
      <c r="W328" s="101" t="str">
        <f t="shared" si="41"/>
        <v>Filled</v>
      </c>
    </row>
    <row r="329" spans="1:23" x14ac:dyDescent="0.25">
      <c r="A329" s="76" t="s">
        <v>751</v>
      </c>
      <c r="B329" s="76" t="s">
        <v>355</v>
      </c>
      <c r="C329" s="76" t="s">
        <v>693</v>
      </c>
      <c r="D329" s="97">
        <v>1</v>
      </c>
      <c r="E329" s="98" t="s">
        <v>325</v>
      </c>
      <c r="F329" s="78">
        <v>64000</v>
      </c>
      <c r="G329" s="97">
        <v>1</v>
      </c>
      <c r="H329" s="98" t="s">
        <v>399</v>
      </c>
      <c r="J329" s="99">
        <f>1+Assumptions!$B$11+INDEX(Assumptions!$B$12:$B$15,D329)*Assumptions!$B$16</f>
        <v>1.3</v>
      </c>
      <c r="K329" s="82">
        <f t="shared" si="35"/>
        <v>83200</v>
      </c>
      <c r="L329" s="100">
        <f>IF(E329="Yes",MAX(0,Assumptions!$B$8-G329+1),0)</f>
        <v>8</v>
      </c>
      <c r="M329" s="82">
        <f t="shared" si="36"/>
        <v>55466.666666666664</v>
      </c>
      <c r="N329" s="100">
        <f>MIN(1,SUMIFS(Roster!$N$5:$N$1504,Roster!$B$5:$B$1504,$A329))</f>
        <v>1</v>
      </c>
      <c r="O329" s="100">
        <f>SUMIFS(Roster!$L$5:$L$1504,Roster!$B$5:$B$1504,$A329)</f>
        <v>8</v>
      </c>
      <c r="P329" s="83">
        <f>SUMIFS(Roster!$M$5:$M$1504,Roster!$B$5:$B$1504,$A329)*J329</f>
        <v>55553.333333333336</v>
      </c>
      <c r="Q329" s="83">
        <f>SUMIFS(Roster!$O$5:$O$1504,Roster!$B$5:$B$1504,$A329)*J329</f>
        <v>83330</v>
      </c>
      <c r="R329" s="82">
        <f t="shared" si="37"/>
        <v>83330</v>
      </c>
      <c r="S329" s="82">
        <f t="shared" si="38"/>
        <v>0</v>
      </c>
      <c r="T329" s="82">
        <f t="shared" si="39"/>
        <v>-86.666666666671517</v>
      </c>
      <c r="U329" s="82">
        <f t="shared" si="40"/>
        <v>0</v>
      </c>
      <c r="V329" s="83">
        <f>IF(COUNTIFS(Roster!$B$5:$B$1504,$A329,Roster!$G$5:$G$1504,"&gt;0")=0,0,SUMIFS(Roster!$H$5:$H$1504,Roster!$B$5:$B$1504,$A329,Roster!$G$5:$G$1504,_xlfn.MAXIFS(Roster!$G$5:$G$1504,Roster!$B$5:$B$1504,$A329)))</f>
        <v>0</v>
      </c>
      <c r="W329" s="101" t="str">
        <f t="shared" si="41"/>
        <v>Filled</v>
      </c>
    </row>
    <row r="330" spans="1:23" x14ac:dyDescent="0.25">
      <c r="A330" s="76" t="s">
        <v>752</v>
      </c>
      <c r="B330" s="76" t="s">
        <v>355</v>
      </c>
      <c r="C330" s="76" t="s">
        <v>693</v>
      </c>
      <c r="D330" s="97">
        <v>1</v>
      </c>
      <c r="E330" s="98" t="s">
        <v>325</v>
      </c>
      <c r="F330" s="78">
        <v>52500</v>
      </c>
      <c r="G330" s="97">
        <v>1</v>
      </c>
      <c r="H330" s="98" t="s">
        <v>399</v>
      </c>
      <c r="J330" s="99">
        <f>1+Assumptions!$B$11+INDEX(Assumptions!$B$12:$B$15,D330)*Assumptions!$B$16</f>
        <v>1.3</v>
      </c>
      <c r="K330" s="82">
        <f t="shared" si="35"/>
        <v>68250</v>
      </c>
      <c r="L330" s="100">
        <f>IF(E330="Yes",MAX(0,Assumptions!$B$8-G330+1),0)</f>
        <v>8</v>
      </c>
      <c r="M330" s="82">
        <f t="shared" si="36"/>
        <v>45500</v>
      </c>
      <c r="N330" s="100">
        <f>MIN(1,SUMIFS(Roster!$N$5:$N$1504,Roster!$B$5:$B$1504,$A330))</f>
        <v>1</v>
      </c>
      <c r="O330" s="100">
        <f>SUMIFS(Roster!$L$5:$L$1504,Roster!$B$5:$B$1504,$A330)</f>
        <v>8</v>
      </c>
      <c r="P330" s="83">
        <f>SUMIFS(Roster!$M$5:$M$1504,Roster!$B$5:$B$1504,$A330)*J330</f>
        <v>46193.333333333336</v>
      </c>
      <c r="Q330" s="83">
        <f>SUMIFS(Roster!$O$5:$O$1504,Roster!$B$5:$B$1504,$A330)*J330</f>
        <v>69290</v>
      </c>
      <c r="R330" s="82">
        <f t="shared" si="37"/>
        <v>69290</v>
      </c>
      <c r="S330" s="82">
        <f t="shared" si="38"/>
        <v>0</v>
      </c>
      <c r="T330" s="82">
        <f t="shared" si="39"/>
        <v>-693.33333333333576</v>
      </c>
      <c r="U330" s="82">
        <f t="shared" si="40"/>
        <v>0</v>
      </c>
      <c r="V330" s="83">
        <f>IF(COUNTIFS(Roster!$B$5:$B$1504,$A330,Roster!$G$5:$G$1504,"&gt;0")=0,0,SUMIFS(Roster!$H$5:$H$1504,Roster!$B$5:$B$1504,$A330,Roster!$G$5:$G$1504,_xlfn.MAXIFS(Roster!$G$5:$G$1504,Roster!$B$5:$B$1504,$A330)))</f>
        <v>0</v>
      </c>
      <c r="W330" s="101" t="str">
        <f t="shared" si="41"/>
        <v>Filled</v>
      </c>
    </row>
    <row r="331" spans="1:23" x14ac:dyDescent="0.25">
      <c r="A331" s="76" t="s">
        <v>753</v>
      </c>
      <c r="B331" s="76" t="s">
        <v>355</v>
      </c>
      <c r="C331" s="76" t="s">
        <v>693</v>
      </c>
      <c r="D331" s="97">
        <v>1</v>
      </c>
      <c r="E331" s="98" t="s">
        <v>325</v>
      </c>
      <c r="F331" s="78">
        <v>62500</v>
      </c>
      <c r="G331" s="97">
        <v>1</v>
      </c>
      <c r="H331" s="98" t="s">
        <v>399</v>
      </c>
      <c r="J331" s="99">
        <f>1+Assumptions!$B$11+INDEX(Assumptions!$B$12:$B$15,D331)*Assumptions!$B$16</f>
        <v>1.3</v>
      </c>
      <c r="K331" s="82">
        <f t="shared" si="35"/>
        <v>81250</v>
      </c>
      <c r="L331" s="100">
        <f>IF(E331="Yes",MAX(0,Assumptions!$B$8-G331+1),0)</f>
        <v>8</v>
      </c>
      <c r="M331" s="82">
        <f t="shared" si="36"/>
        <v>54166.666666666664</v>
      </c>
      <c r="N331" s="100">
        <f>MIN(1,SUMIFS(Roster!$N$5:$N$1504,Roster!$B$5:$B$1504,$A331))</f>
        <v>1</v>
      </c>
      <c r="O331" s="100">
        <f>SUMIFS(Roster!$L$5:$L$1504,Roster!$B$5:$B$1504,$A331)</f>
        <v>8</v>
      </c>
      <c r="P331" s="83">
        <f>SUMIFS(Roster!$M$5:$M$1504,Roster!$B$5:$B$1504,$A331)*J331</f>
        <v>54166.666666666664</v>
      </c>
      <c r="Q331" s="83">
        <f>SUMIFS(Roster!$O$5:$O$1504,Roster!$B$5:$B$1504,$A331)*J331</f>
        <v>81250</v>
      </c>
      <c r="R331" s="82">
        <f t="shared" si="37"/>
        <v>81250</v>
      </c>
      <c r="S331" s="82">
        <f t="shared" si="38"/>
        <v>0</v>
      </c>
      <c r="T331" s="82">
        <f t="shared" si="39"/>
        <v>0</v>
      </c>
      <c r="U331" s="82">
        <f t="shared" si="40"/>
        <v>0</v>
      </c>
      <c r="V331" s="83">
        <f>IF(COUNTIFS(Roster!$B$5:$B$1504,$A331,Roster!$G$5:$G$1504,"&gt;0")=0,0,SUMIFS(Roster!$H$5:$H$1504,Roster!$B$5:$B$1504,$A331,Roster!$G$5:$G$1504,_xlfn.MAXIFS(Roster!$G$5:$G$1504,Roster!$B$5:$B$1504,$A331)))</f>
        <v>0</v>
      </c>
      <c r="W331" s="101" t="str">
        <f t="shared" si="41"/>
        <v>Filled</v>
      </c>
    </row>
    <row r="332" spans="1:23" x14ac:dyDescent="0.25">
      <c r="A332" s="76" t="s">
        <v>754</v>
      </c>
      <c r="B332" s="76" t="s">
        <v>355</v>
      </c>
      <c r="C332" s="76" t="s">
        <v>693</v>
      </c>
      <c r="D332" s="97">
        <v>1</v>
      </c>
      <c r="E332" s="98" t="s">
        <v>325</v>
      </c>
      <c r="F332" s="78">
        <v>64000</v>
      </c>
      <c r="G332" s="97">
        <v>1</v>
      </c>
      <c r="H332" s="98" t="s">
        <v>399</v>
      </c>
      <c r="J332" s="99">
        <f>1+Assumptions!$B$11+INDEX(Assumptions!$B$12:$B$15,D332)*Assumptions!$B$16</f>
        <v>1.3</v>
      </c>
      <c r="K332" s="82">
        <f t="shared" si="35"/>
        <v>83200</v>
      </c>
      <c r="L332" s="100">
        <f>IF(E332="Yes",MAX(0,Assumptions!$B$8-G332+1),0)</f>
        <v>8</v>
      </c>
      <c r="M332" s="82">
        <f t="shared" si="36"/>
        <v>55466.666666666664</v>
      </c>
      <c r="N332" s="100">
        <f>MIN(1,SUMIFS(Roster!$N$5:$N$1504,Roster!$B$5:$B$1504,$A332))</f>
        <v>1</v>
      </c>
      <c r="O332" s="100">
        <f>SUMIFS(Roster!$L$5:$L$1504,Roster!$B$5:$B$1504,$A332)</f>
        <v>8</v>
      </c>
      <c r="P332" s="83">
        <f>SUMIFS(Roster!$M$5:$M$1504,Roster!$B$5:$B$1504,$A332)*J332</f>
        <v>55900</v>
      </c>
      <c r="Q332" s="83">
        <f>SUMIFS(Roster!$O$5:$O$1504,Roster!$B$5:$B$1504,$A332)*J332</f>
        <v>83850</v>
      </c>
      <c r="R332" s="82">
        <f t="shared" si="37"/>
        <v>83850</v>
      </c>
      <c r="S332" s="82">
        <f t="shared" si="38"/>
        <v>0</v>
      </c>
      <c r="T332" s="82">
        <f t="shared" si="39"/>
        <v>-433.33333333333576</v>
      </c>
      <c r="U332" s="82">
        <f t="shared" si="40"/>
        <v>0</v>
      </c>
      <c r="V332" s="83">
        <f>IF(COUNTIFS(Roster!$B$5:$B$1504,$A332,Roster!$G$5:$G$1504,"&gt;0")=0,0,SUMIFS(Roster!$H$5:$H$1504,Roster!$B$5:$B$1504,$A332,Roster!$G$5:$G$1504,_xlfn.MAXIFS(Roster!$G$5:$G$1504,Roster!$B$5:$B$1504,$A332)))</f>
        <v>0</v>
      </c>
      <c r="W332" s="101" t="str">
        <f t="shared" si="41"/>
        <v>Filled</v>
      </c>
    </row>
    <row r="333" spans="1:23" x14ac:dyDescent="0.25">
      <c r="A333" s="76" t="s">
        <v>755</v>
      </c>
      <c r="B333" s="76" t="s">
        <v>355</v>
      </c>
      <c r="C333" s="76" t="s">
        <v>693</v>
      </c>
      <c r="D333" s="97">
        <v>1</v>
      </c>
      <c r="E333" s="98" t="s">
        <v>325</v>
      </c>
      <c r="F333" s="78">
        <v>70000</v>
      </c>
      <c r="G333" s="97">
        <v>1</v>
      </c>
      <c r="H333" s="98" t="s">
        <v>399</v>
      </c>
      <c r="J333" s="99">
        <f>1+Assumptions!$B$11+INDEX(Assumptions!$B$12:$B$15,D333)*Assumptions!$B$16</f>
        <v>1.3</v>
      </c>
      <c r="K333" s="82">
        <f t="shared" si="35"/>
        <v>91000</v>
      </c>
      <c r="L333" s="100">
        <f>IF(E333="Yes",MAX(0,Assumptions!$B$8-G333+1),0)</f>
        <v>8</v>
      </c>
      <c r="M333" s="82">
        <f t="shared" si="36"/>
        <v>60666.666666666664</v>
      </c>
      <c r="N333" s="100">
        <f>MIN(1,SUMIFS(Roster!$N$5:$N$1504,Roster!$B$5:$B$1504,$A333))</f>
        <v>1</v>
      </c>
      <c r="O333" s="100">
        <f>SUMIFS(Roster!$L$5:$L$1504,Roster!$B$5:$B$1504,$A333)</f>
        <v>8</v>
      </c>
      <c r="P333" s="83">
        <f>SUMIFS(Roster!$M$5:$M$1504,Roster!$B$5:$B$1504,$A333)*J333</f>
        <v>59886.666666666664</v>
      </c>
      <c r="Q333" s="83">
        <f>SUMIFS(Roster!$O$5:$O$1504,Roster!$B$5:$B$1504,$A333)*J333</f>
        <v>89830</v>
      </c>
      <c r="R333" s="82">
        <f t="shared" si="37"/>
        <v>89830</v>
      </c>
      <c r="S333" s="82">
        <f t="shared" si="38"/>
        <v>0</v>
      </c>
      <c r="T333" s="82">
        <f t="shared" si="39"/>
        <v>780</v>
      </c>
      <c r="U333" s="82">
        <f t="shared" si="40"/>
        <v>0</v>
      </c>
      <c r="V333" s="83">
        <f>IF(COUNTIFS(Roster!$B$5:$B$1504,$A333,Roster!$G$5:$G$1504,"&gt;0")=0,0,SUMIFS(Roster!$H$5:$H$1504,Roster!$B$5:$B$1504,$A333,Roster!$G$5:$G$1504,_xlfn.MAXIFS(Roster!$G$5:$G$1504,Roster!$B$5:$B$1504,$A333)))</f>
        <v>0</v>
      </c>
      <c r="W333" s="101" t="str">
        <f t="shared" si="41"/>
        <v>Filled</v>
      </c>
    </row>
    <row r="334" spans="1:23" x14ac:dyDescent="0.25">
      <c r="A334" s="76" t="s">
        <v>756</v>
      </c>
      <c r="B334" s="76" t="s">
        <v>355</v>
      </c>
      <c r="C334" s="76" t="s">
        <v>693</v>
      </c>
      <c r="D334" s="97">
        <v>1</v>
      </c>
      <c r="E334" s="98" t="s">
        <v>325</v>
      </c>
      <c r="F334" s="78">
        <v>62500</v>
      </c>
      <c r="G334" s="97">
        <v>1</v>
      </c>
      <c r="H334" s="98" t="s">
        <v>399</v>
      </c>
      <c r="J334" s="99">
        <f>1+Assumptions!$B$11+INDEX(Assumptions!$B$12:$B$15,D334)*Assumptions!$B$16</f>
        <v>1.3</v>
      </c>
      <c r="K334" s="82">
        <f t="shared" si="35"/>
        <v>81250</v>
      </c>
      <c r="L334" s="100">
        <f>IF(E334="Yes",MAX(0,Assumptions!$B$8-G334+1),0)</f>
        <v>8</v>
      </c>
      <c r="M334" s="82">
        <f t="shared" si="36"/>
        <v>54166.666666666664</v>
      </c>
      <c r="N334" s="100">
        <f>MIN(1,SUMIFS(Roster!$N$5:$N$1504,Roster!$B$5:$B$1504,$A334))</f>
        <v>1</v>
      </c>
      <c r="O334" s="100">
        <f>SUMIFS(Roster!$L$5:$L$1504,Roster!$B$5:$B$1504,$A334)</f>
        <v>8</v>
      </c>
      <c r="P334" s="83">
        <f>SUMIFS(Roster!$M$5:$M$1504,Roster!$B$5:$B$1504,$A334)*J334</f>
        <v>54946.666666666664</v>
      </c>
      <c r="Q334" s="83">
        <f>SUMIFS(Roster!$O$5:$O$1504,Roster!$B$5:$B$1504,$A334)*J334</f>
        <v>82420</v>
      </c>
      <c r="R334" s="82">
        <f t="shared" si="37"/>
        <v>82420</v>
      </c>
      <c r="S334" s="82">
        <f t="shared" si="38"/>
        <v>0</v>
      </c>
      <c r="T334" s="82">
        <f t="shared" si="39"/>
        <v>-780</v>
      </c>
      <c r="U334" s="82">
        <f t="shared" si="40"/>
        <v>0</v>
      </c>
      <c r="V334" s="83">
        <f>IF(COUNTIFS(Roster!$B$5:$B$1504,$A334,Roster!$G$5:$G$1504,"&gt;0")=0,0,SUMIFS(Roster!$H$5:$H$1504,Roster!$B$5:$B$1504,$A334,Roster!$G$5:$G$1504,_xlfn.MAXIFS(Roster!$G$5:$G$1504,Roster!$B$5:$B$1504,$A334)))</f>
        <v>0</v>
      </c>
      <c r="W334" s="101" t="str">
        <f t="shared" si="41"/>
        <v>Filled</v>
      </c>
    </row>
    <row r="335" spans="1:23" x14ac:dyDescent="0.25">
      <c r="A335" s="76" t="s">
        <v>757</v>
      </c>
      <c r="B335" s="76" t="s">
        <v>355</v>
      </c>
      <c r="C335" s="76" t="s">
        <v>702</v>
      </c>
      <c r="D335" s="97">
        <v>3</v>
      </c>
      <c r="E335" s="98" t="s">
        <v>325</v>
      </c>
      <c r="F335" s="78">
        <v>119500</v>
      </c>
      <c r="G335" s="97">
        <v>1</v>
      </c>
      <c r="H335" s="98" t="s">
        <v>399</v>
      </c>
      <c r="J335" s="99">
        <f>1+Assumptions!$B$11+INDEX(Assumptions!$B$12:$B$15,D335)*Assumptions!$B$16</f>
        <v>1.4</v>
      </c>
      <c r="K335" s="82">
        <f t="shared" si="35"/>
        <v>167300</v>
      </c>
      <c r="L335" s="100">
        <f>IF(E335="Yes",MAX(0,Assumptions!$B$8-G335+1),0)</f>
        <v>8</v>
      </c>
      <c r="M335" s="82">
        <f t="shared" si="36"/>
        <v>111533.33333333333</v>
      </c>
      <c r="N335" s="100">
        <f>MIN(1,SUMIFS(Roster!$N$5:$N$1504,Roster!$B$5:$B$1504,$A335))</f>
        <v>1</v>
      </c>
      <c r="O335" s="100">
        <f>SUMIFS(Roster!$L$5:$L$1504,Roster!$B$5:$B$1504,$A335)</f>
        <v>8</v>
      </c>
      <c r="P335" s="83">
        <f>SUMIFS(Roster!$M$5:$M$1504,Roster!$B$5:$B$1504,$A335)*J335</f>
        <v>111906.66666666666</v>
      </c>
      <c r="Q335" s="83">
        <f>SUMIFS(Roster!$O$5:$O$1504,Roster!$B$5:$B$1504,$A335)*J335</f>
        <v>167860</v>
      </c>
      <c r="R335" s="82">
        <f t="shared" si="37"/>
        <v>167860</v>
      </c>
      <c r="S335" s="82">
        <f t="shared" si="38"/>
        <v>0</v>
      </c>
      <c r="T335" s="82">
        <f t="shared" si="39"/>
        <v>-373.33333333332848</v>
      </c>
      <c r="U335" s="82">
        <f t="shared" si="40"/>
        <v>0</v>
      </c>
      <c r="V335" s="83">
        <f>IF(COUNTIFS(Roster!$B$5:$B$1504,$A335,Roster!$G$5:$G$1504,"&gt;0")=0,0,SUMIFS(Roster!$H$5:$H$1504,Roster!$B$5:$B$1504,$A335,Roster!$G$5:$G$1504,_xlfn.MAXIFS(Roster!$G$5:$G$1504,Roster!$B$5:$B$1504,$A335)))</f>
        <v>0</v>
      </c>
      <c r="W335" s="101" t="str">
        <f t="shared" si="41"/>
        <v>Filled</v>
      </c>
    </row>
    <row r="336" spans="1:23" x14ac:dyDescent="0.25">
      <c r="A336" s="76" t="s">
        <v>758</v>
      </c>
      <c r="B336" s="76" t="s">
        <v>355</v>
      </c>
      <c r="C336" s="76" t="s">
        <v>693</v>
      </c>
      <c r="D336" s="97">
        <v>1</v>
      </c>
      <c r="E336" s="98" t="s">
        <v>325</v>
      </c>
      <c r="F336" s="78">
        <v>59500</v>
      </c>
      <c r="G336" s="97">
        <v>1</v>
      </c>
      <c r="H336" s="98" t="s">
        <v>399</v>
      </c>
      <c r="J336" s="99">
        <f>1+Assumptions!$B$11+INDEX(Assumptions!$B$12:$B$15,D336)*Assumptions!$B$16</f>
        <v>1.3</v>
      </c>
      <c r="K336" s="82">
        <f t="shared" si="35"/>
        <v>77350</v>
      </c>
      <c r="L336" s="100">
        <f>IF(E336="Yes",MAX(0,Assumptions!$B$8-G336+1),0)</f>
        <v>8</v>
      </c>
      <c r="M336" s="82">
        <f t="shared" si="36"/>
        <v>51566.666666666664</v>
      </c>
      <c r="N336" s="100">
        <f>MIN(1,SUMIFS(Roster!$N$5:$N$1504,Roster!$B$5:$B$1504,$A336))</f>
        <v>1</v>
      </c>
      <c r="O336" s="100">
        <f>SUMIFS(Roster!$L$5:$L$1504,Roster!$B$5:$B$1504,$A336)</f>
        <v>8</v>
      </c>
      <c r="P336" s="83">
        <f>SUMIFS(Roster!$M$5:$M$1504,Roster!$B$5:$B$1504,$A336)*J336</f>
        <v>51306.666666666664</v>
      </c>
      <c r="Q336" s="83">
        <f>SUMIFS(Roster!$O$5:$O$1504,Roster!$B$5:$B$1504,$A336)*J336</f>
        <v>76960</v>
      </c>
      <c r="R336" s="82">
        <f t="shared" si="37"/>
        <v>76960</v>
      </c>
      <c r="S336" s="82">
        <f t="shared" si="38"/>
        <v>0</v>
      </c>
      <c r="T336" s="82">
        <f t="shared" si="39"/>
        <v>260</v>
      </c>
      <c r="U336" s="82">
        <f t="shared" si="40"/>
        <v>0</v>
      </c>
      <c r="V336" s="83">
        <f>IF(COUNTIFS(Roster!$B$5:$B$1504,$A336,Roster!$G$5:$G$1504,"&gt;0")=0,0,SUMIFS(Roster!$H$5:$H$1504,Roster!$B$5:$B$1504,$A336,Roster!$G$5:$G$1504,_xlfn.MAXIFS(Roster!$G$5:$G$1504,Roster!$B$5:$B$1504,$A336)))</f>
        <v>0</v>
      </c>
      <c r="W336" s="101" t="str">
        <f t="shared" si="41"/>
        <v>Filled</v>
      </c>
    </row>
    <row r="337" spans="1:23" x14ac:dyDescent="0.25">
      <c r="A337" s="76" t="s">
        <v>759</v>
      </c>
      <c r="B337" s="76" t="s">
        <v>355</v>
      </c>
      <c r="C337" s="76" t="s">
        <v>693</v>
      </c>
      <c r="D337" s="97">
        <v>1</v>
      </c>
      <c r="E337" s="98" t="s">
        <v>325</v>
      </c>
      <c r="F337" s="78">
        <v>54500</v>
      </c>
      <c r="G337" s="97">
        <v>1</v>
      </c>
      <c r="H337" s="98" t="s">
        <v>399</v>
      </c>
      <c r="J337" s="99">
        <f>1+Assumptions!$B$11+INDEX(Assumptions!$B$12:$B$15,D337)*Assumptions!$B$16</f>
        <v>1.3</v>
      </c>
      <c r="K337" s="82">
        <f t="shared" si="35"/>
        <v>70850</v>
      </c>
      <c r="L337" s="100">
        <f>IF(E337="Yes",MAX(0,Assumptions!$B$8-G337+1),0)</f>
        <v>8</v>
      </c>
      <c r="M337" s="82">
        <f t="shared" si="36"/>
        <v>47233.333333333336</v>
      </c>
      <c r="N337" s="100">
        <f>MIN(1,SUMIFS(Roster!$N$5:$N$1504,Roster!$B$5:$B$1504,$A337))</f>
        <v>1</v>
      </c>
      <c r="O337" s="100">
        <f>SUMIFS(Roster!$L$5:$L$1504,Roster!$B$5:$B$1504,$A337)</f>
        <v>8</v>
      </c>
      <c r="P337" s="83">
        <f>SUMIFS(Roster!$M$5:$M$1504,Roster!$B$5:$B$1504,$A337)*J337</f>
        <v>47406.666666666664</v>
      </c>
      <c r="Q337" s="83">
        <f>SUMIFS(Roster!$O$5:$O$1504,Roster!$B$5:$B$1504,$A337)*J337</f>
        <v>71110</v>
      </c>
      <c r="R337" s="82">
        <f t="shared" si="37"/>
        <v>71110</v>
      </c>
      <c r="S337" s="82">
        <f t="shared" si="38"/>
        <v>0</v>
      </c>
      <c r="T337" s="82">
        <f t="shared" si="39"/>
        <v>-173.33333333332848</v>
      </c>
      <c r="U337" s="82">
        <f t="shared" si="40"/>
        <v>0</v>
      </c>
      <c r="V337" s="83">
        <f>IF(COUNTIFS(Roster!$B$5:$B$1504,$A337,Roster!$G$5:$G$1504,"&gt;0")=0,0,SUMIFS(Roster!$H$5:$H$1504,Roster!$B$5:$B$1504,$A337,Roster!$G$5:$G$1504,_xlfn.MAXIFS(Roster!$G$5:$G$1504,Roster!$B$5:$B$1504,$A337)))</f>
        <v>0</v>
      </c>
      <c r="W337" s="101" t="str">
        <f t="shared" si="41"/>
        <v>Filled</v>
      </c>
    </row>
    <row r="338" spans="1:23" x14ac:dyDescent="0.25">
      <c r="A338" s="76" t="s">
        <v>760</v>
      </c>
      <c r="B338" s="76" t="s">
        <v>355</v>
      </c>
      <c r="C338" s="76" t="s">
        <v>705</v>
      </c>
      <c r="D338" s="97">
        <v>2</v>
      </c>
      <c r="E338" s="98" t="s">
        <v>325</v>
      </c>
      <c r="F338" s="78">
        <v>84000</v>
      </c>
      <c r="G338" s="97">
        <v>3</v>
      </c>
      <c r="H338" s="98" t="s">
        <v>399</v>
      </c>
      <c r="J338" s="99">
        <f>1+Assumptions!$B$11+INDEX(Assumptions!$B$12:$B$15,D338)*Assumptions!$B$16</f>
        <v>1.35</v>
      </c>
      <c r="K338" s="82">
        <f t="shared" si="35"/>
        <v>113400.00000000001</v>
      </c>
      <c r="L338" s="100">
        <f>IF(E338="Yes",MAX(0,Assumptions!$B$8-G338+1),0)</f>
        <v>6</v>
      </c>
      <c r="M338" s="82">
        <f t="shared" si="36"/>
        <v>56700.000000000015</v>
      </c>
      <c r="N338" s="100">
        <f>MIN(1,SUMIFS(Roster!$N$5:$N$1504,Roster!$B$5:$B$1504,$A338))</f>
        <v>1</v>
      </c>
      <c r="O338" s="100">
        <f>SUMIFS(Roster!$L$5:$L$1504,Roster!$B$5:$B$1504,$A338)</f>
        <v>4</v>
      </c>
      <c r="P338" s="83">
        <f>SUMIFS(Roster!$M$5:$M$1504,Roster!$B$5:$B$1504,$A338)*J338</f>
        <v>38250</v>
      </c>
      <c r="Q338" s="83">
        <f>SUMIFS(Roster!$O$5:$O$1504,Roster!$B$5:$B$1504,$A338)*J338</f>
        <v>114750.00000000001</v>
      </c>
      <c r="R338" s="82">
        <f t="shared" si="37"/>
        <v>114750.00000000001</v>
      </c>
      <c r="S338" s="82">
        <f t="shared" si="38"/>
        <v>18900.000000000004</v>
      </c>
      <c r="T338" s="82">
        <f t="shared" si="39"/>
        <v>-449.99999999999272</v>
      </c>
      <c r="U338" s="82">
        <f t="shared" si="40"/>
        <v>0</v>
      </c>
      <c r="V338" s="83">
        <f>IF(COUNTIFS(Roster!$B$5:$B$1504,$A338,Roster!$G$5:$G$1504,"&gt;0")=0,0,SUMIFS(Roster!$H$5:$H$1504,Roster!$B$5:$B$1504,$A338,Roster!$G$5:$G$1504,_xlfn.MAXIFS(Roster!$G$5:$G$1504,Roster!$B$5:$B$1504,$A338)))</f>
        <v>0</v>
      </c>
      <c r="W338" s="101" t="str">
        <f t="shared" si="41"/>
        <v>Filled</v>
      </c>
    </row>
    <row r="339" spans="1:23" x14ac:dyDescent="0.25">
      <c r="A339" s="76" t="s">
        <v>761</v>
      </c>
      <c r="B339" s="76" t="s">
        <v>355</v>
      </c>
      <c r="C339" s="76" t="s">
        <v>705</v>
      </c>
      <c r="D339" s="97">
        <v>2</v>
      </c>
      <c r="E339" s="98" t="s">
        <v>325</v>
      </c>
      <c r="F339" s="78">
        <v>76500</v>
      </c>
      <c r="G339" s="97">
        <v>5</v>
      </c>
      <c r="H339" s="98" t="s">
        <v>399</v>
      </c>
      <c r="J339" s="99">
        <f>1+Assumptions!$B$11+INDEX(Assumptions!$B$12:$B$15,D339)*Assumptions!$B$16</f>
        <v>1.35</v>
      </c>
      <c r="K339" s="82">
        <f t="shared" si="35"/>
        <v>103275</v>
      </c>
      <c r="L339" s="100">
        <f>IF(E339="Yes",MAX(0,Assumptions!$B$8-G339+1),0)</f>
        <v>4</v>
      </c>
      <c r="M339" s="82">
        <f t="shared" si="36"/>
        <v>34425</v>
      </c>
      <c r="N339" s="100">
        <f>MIN(1,SUMIFS(Roster!$N$5:$N$1504,Roster!$B$5:$B$1504,$A339))</f>
        <v>0</v>
      </c>
      <c r="O339" s="100">
        <f>SUMIFS(Roster!$L$5:$L$1504,Roster!$B$5:$B$1504,$A339)</f>
        <v>0</v>
      </c>
      <c r="P339" s="83">
        <f>SUMIFS(Roster!$M$5:$M$1504,Roster!$B$5:$B$1504,$A339)*J339</f>
        <v>0</v>
      </c>
      <c r="Q339" s="83">
        <f>SUMIFS(Roster!$O$5:$O$1504,Roster!$B$5:$B$1504,$A339)*J339</f>
        <v>0</v>
      </c>
      <c r="R339" s="82">
        <f t="shared" si="37"/>
        <v>103275</v>
      </c>
      <c r="S339" s="82">
        <f t="shared" si="38"/>
        <v>34425</v>
      </c>
      <c r="T339" s="82">
        <f t="shared" si="39"/>
        <v>0</v>
      </c>
      <c r="U339" s="82">
        <f t="shared" si="40"/>
        <v>0</v>
      </c>
      <c r="V339" s="83">
        <f>IF(COUNTIFS(Roster!$B$5:$B$1504,$A339,Roster!$G$5:$G$1504,"&gt;0")=0,0,SUMIFS(Roster!$H$5:$H$1504,Roster!$B$5:$B$1504,$A339,Roster!$G$5:$G$1504,_xlfn.MAXIFS(Roster!$G$5:$G$1504,Roster!$B$5:$B$1504,$A339)))</f>
        <v>0</v>
      </c>
      <c r="W339" s="101" t="str">
        <f t="shared" si="41"/>
        <v>Open: to fill</v>
      </c>
    </row>
    <row r="340" spans="1:23" x14ac:dyDescent="0.25">
      <c r="A340" s="76" t="s">
        <v>762</v>
      </c>
      <c r="B340" s="76" t="s">
        <v>355</v>
      </c>
      <c r="C340" s="76" t="s">
        <v>691</v>
      </c>
      <c r="D340" s="97">
        <v>2</v>
      </c>
      <c r="E340" s="98" t="s">
        <v>325</v>
      </c>
      <c r="F340" s="78">
        <v>82500</v>
      </c>
      <c r="G340" s="97">
        <v>4</v>
      </c>
      <c r="H340" s="98" t="s">
        <v>134</v>
      </c>
      <c r="I340" s="76" t="s">
        <v>763</v>
      </c>
      <c r="J340" s="99">
        <f>1+Assumptions!$B$11+INDEX(Assumptions!$B$12:$B$15,D340)*Assumptions!$B$16</f>
        <v>1.35</v>
      </c>
      <c r="K340" s="82">
        <f t="shared" si="35"/>
        <v>111375.00000000001</v>
      </c>
      <c r="L340" s="100">
        <f>IF(E340="Yes",MAX(0,Assumptions!$B$8-G340+1),0)</f>
        <v>5</v>
      </c>
      <c r="M340" s="82">
        <f t="shared" si="36"/>
        <v>46406.250000000007</v>
      </c>
      <c r="N340" s="100">
        <f>MIN(1,SUMIFS(Roster!$N$5:$N$1504,Roster!$B$5:$B$1504,$A340))</f>
        <v>0</v>
      </c>
      <c r="O340" s="100">
        <f>SUMIFS(Roster!$L$5:$L$1504,Roster!$B$5:$B$1504,$A340)</f>
        <v>0</v>
      </c>
      <c r="P340" s="83">
        <f>SUMIFS(Roster!$M$5:$M$1504,Roster!$B$5:$B$1504,$A340)*J340</f>
        <v>0</v>
      </c>
      <c r="Q340" s="83">
        <f>SUMIFS(Roster!$O$5:$O$1504,Roster!$B$5:$B$1504,$A340)*J340</f>
        <v>0</v>
      </c>
      <c r="R340" s="82">
        <f t="shared" si="37"/>
        <v>0</v>
      </c>
      <c r="S340" s="82">
        <f t="shared" si="38"/>
        <v>46406.250000000007</v>
      </c>
      <c r="T340" s="82">
        <f t="shared" si="39"/>
        <v>0</v>
      </c>
      <c r="U340" s="82">
        <f t="shared" si="40"/>
        <v>0</v>
      </c>
      <c r="V340" s="83">
        <f>IF(COUNTIFS(Roster!$B$5:$B$1504,$A340,Roster!$G$5:$G$1504,"&gt;0")=0,0,SUMIFS(Roster!$H$5:$H$1504,Roster!$B$5:$B$1504,$A340,Roster!$G$5:$G$1504,_xlfn.MAXIFS(Roster!$G$5:$G$1504,Roster!$B$5:$B$1504,$A340)))</f>
        <v>0</v>
      </c>
      <c r="W340" s="101" t="str">
        <f t="shared" si="41"/>
        <v>Open: on hold</v>
      </c>
    </row>
    <row r="341" spans="1:23" x14ac:dyDescent="0.25">
      <c r="A341" s="76" t="s">
        <v>764</v>
      </c>
      <c r="B341" s="76" t="s">
        <v>355</v>
      </c>
      <c r="C341" s="76" t="s">
        <v>693</v>
      </c>
      <c r="D341" s="97">
        <v>1</v>
      </c>
      <c r="E341" s="98" t="s">
        <v>325</v>
      </c>
      <c r="F341" s="78">
        <v>62000</v>
      </c>
      <c r="G341" s="97">
        <v>6</v>
      </c>
      <c r="H341" s="98" t="s">
        <v>134</v>
      </c>
      <c r="I341" s="76" t="s">
        <v>765</v>
      </c>
      <c r="J341" s="99">
        <f>1+Assumptions!$B$11+INDEX(Assumptions!$B$12:$B$15,D341)*Assumptions!$B$16</f>
        <v>1.3</v>
      </c>
      <c r="K341" s="82">
        <f t="shared" si="35"/>
        <v>80600</v>
      </c>
      <c r="L341" s="100">
        <f>IF(E341="Yes",MAX(0,Assumptions!$B$8-G341+1),0)</f>
        <v>3</v>
      </c>
      <c r="M341" s="82">
        <f t="shared" si="36"/>
        <v>20150</v>
      </c>
      <c r="N341" s="100">
        <f>MIN(1,SUMIFS(Roster!$N$5:$N$1504,Roster!$B$5:$B$1504,$A341))</f>
        <v>0</v>
      </c>
      <c r="O341" s="100">
        <f>SUMIFS(Roster!$L$5:$L$1504,Roster!$B$5:$B$1504,$A341)</f>
        <v>0</v>
      </c>
      <c r="P341" s="83">
        <f>SUMIFS(Roster!$M$5:$M$1504,Roster!$B$5:$B$1504,$A341)*J341</f>
        <v>0</v>
      </c>
      <c r="Q341" s="83">
        <f>SUMIFS(Roster!$O$5:$O$1504,Roster!$B$5:$B$1504,$A341)*J341</f>
        <v>0</v>
      </c>
      <c r="R341" s="82">
        <f t="shared" si="37"/>
        <v>0</v>
      </c>
      <c r="S341" s="82">
        <f t="shared" si="38"/>
        <v>20150</v>
      </c>
      <c r="T341" s="82">
        <f t="shared" si="39"/>
        <v>0</v>
      </c>
      <c r="U341" s="82">
        <f t="shared" si="40"/>
        <v>0</v>
      </c>
      <c r="V341" s="83">
        <f>IF(COUNTIFS(Roster!$B$5:$B$1504,$A341,Roster!$G$5:$G$1504,"&gt;0")=0,0,SUMIFS(Roster!$H$5:$H$1504,Roster!$B$5:$B$1504,$A341,Roster!$G$5:$G$1504,_xlfn.MAXIFS(Roster!$G$5:$G$1504,Roster!$B$5:$B$1504,$A341)))</f>
        <v>0</v>
      </c>
      <c r="W341" s="101" t="str">
        <f t="shared" si="41"/>
        <v>Open: on hold</v>
      </c>
    </row>
    <row r="342" spans="1:23" x14ac:dyDescent="0.25">
      <c r="A342" s="76" t="s">
        <v>766</v>
      </c>
      <c r="B342" s="76" t="s">
        <v>355</v>
      </c>
      <c r="C342" s="76" t="s">
        <v>691</v>
      </c>
      <c r="D342" s="97">
        <v>2</v>
      </c>
      <c r="E342" s="98" t="s">
        <v>517</v>
      </c>
      <c r="F342" s="78">
        <v>0</v>
      </c>
      <c r="G342" s="102"/>
      <c r="H342" s="98" t="s">
        <v>399</v>
      </c>
      <c r="J342" s="99">
        <f>1+Assumptions!$B$11+INDEX(Assumptions!$B$12:$B$15,D342)*Assumptions!$B$16</f>
        <v>1.35</v>
      </c>
      <c r="K342" s="82">
        <f t="shared" si="35"/>
        <v>0</v>
      </c>
      <c r="L342" s="100">
        <f>IF(E342="Yes",MAX(0,Assumptions!$B$8-G342+1),0)</f>
        <v>0</v>
      </c>
      <c r="M342" s="82">
        <f t="shared" si="36"/>
        <v>0</v>
      </c>
      <c r="N342" s="100">
        <f>MIN(1,SUMIFS(Roster!$N$5:$N$1504,Roster!$B$5:$B$1504,$A342))</f>
        <v>1</v>
      </c>
      <c r="O342" s="100">
        <f>SUMIFS(Roster!$L$5:$L$1504,Roster!$B$5:$B$1504,$A342)</f>
        <v>5</v>
      </c>
      <c r="P342" s="83">
        <f>SUMIFS(Roster!$M$5:$M$1504,Roster!$B$5:$B$1504,$A342)*J342</f>
        <v>45000.000000000007</v>
      </c>
      <c r="Q342" s="83">
        <f>SUMIFS(Roster!$O$5:$O$1504,Roster!$B$5:$B$1504,$A342)*J342</f>
        <v>108000</v>
      </c>
      <c r="R342" s="82">
        <f t="shared" si="37"/>
        <v>108000</v>
      </c>
      <c r="S342" s="82">
        <f t="shared" si="38"/>
        <v>0</v>
      </c>
      <c r="T342" s="82">
        <f t="shared" si="39"/>
        <v>0</v>
      </c>
      <c r="U342" s="82">
        <f t="shared" si="40"/>
        <v>-45000.000000000007</v>
      </c>
      <c r="V342" s="83">
        <f>IF(COUNTIFS(Roster!$B$5:$B$1504,$A342,Roster!$G$5:$G$1504,"&gt;0")=0,0,SUMIFS(Roster!$H$5:$H$1504,Roster!$B$5:$B$1504,$A342,Roster!$G$5:$G$1504,_xlfn.MAXIFS(Roster!$G$5:$G$1504,Roster!$B$5:$B$1504,$A342)))</f>
        <v>0</v>
      </c>
      <c r="W342" s="101" t="str">
        <f t="shared" si="41"/>
        <v>Unbudgeted hire</v>
      </c>
    </row>
    <row r="343" spans="1:23" x14ac:dyDescent="0.25">
      <c r="A343" s="76" t="s">
        <v>767</v>
      </c>
      <c r="B343" s="76" t="s">
        <v>355</v>
      </c>
      <c r="C343" s="76" t="s">
        <v>693</v>
      </c>
      <c r="D343" s="97">
        <v>1</v>
      </c>
      <c r="E343" s="98" t="s">
        <v>517</v>
      </c>
      <c r="F343" s="78">
        <v>0</v>
      </c>
      <c r="G343" s="102"/>
      <c r="H343" s="98" t="s">
        <v>399</v>
      </c>
      <c r="J343" s="99">
        <f>1+Assumptions!$B$11+INDEX(Assumptions!$B$12:$B$15,D343)*Assumptions!$B$16</f>
        <v>1.3</v>
      </c>
      <c r="K343" s="82">
        <f t="shared" si="35"/>
        <v>0</v>
      </c>
      <c r="L343" s="100">
        <f>IF(E343="Yes",MAX(0,Assumptions!$B$8-G343+1),0)</f>
        <v>0</v>
      </c>
      <c r="M343" s="82">
        <f t="shared" si="36"/>
        <v>0</v>
      </c>
      <c r="N343" s="100">
        <f>MIN(1,SUMIFS(Roster!$N$5:$N$1504,Roster!$B$5:$B$1504,$A343))</f>
        <v>1</v>
      </c>
      <c r="O343" s="100">
        <f>SUMIFS(Roster!$L$5:$L$1504,Roster!$B$5:$B$1504,$A343)</f>
        <v>3</v>
      </c>
      <c r="P343" s="83">
        <f>SUMIFS(Roster!$M$5:$M$1504,Roster!$B$5:$B$1504,$A343)*J343</f>
        <v>20637.5</v>
      </c>
      <c r="Q343" s="83">
        <f>SUMIFS(Roster!$O$5:$O$1504,Roster!$B$5:$B$1504,$A343)*J343</f>
        <v>82550</v>
      </c>
      <c r="R343" s="82">
        <f t="shared" si="37"/>
        <v>82550</v>
      </c>
      <c r="S343" s="82">
        <f t="shared" si="38"/>
        <v>0</v>
      </c>
      <c r="T343" s="82">
        <f t="shared" si="39"/>
        <v>0</v>
      </c>
      <c r="U343" s="82">
        <f t="shared" si="40"/>
        <v>-20637.5</v>
      </c>
      <c r="V343" s="83">
        <f>IF(COUNTIFS(Roster!$B$5:$B$1504,$A343,Roster!$G$5:$G$1504,"&gt;0")=0,0,SUMIFS(Roster!$H$5:$H$1504,Roster!$B$5:$B$1504,$A343,Roster!$G$5:$G$1504,_xlfn.MAXIFS(Roster!$G$5:$G$1504,Roster!$B$5:$B$1504,$A343)))</f>
        <v>0</v>
      </c>
      <c r="W343" s="101" t="str">
        <f t="shared" si="41"/>
        <v>Unbudgeted hire</v>
      </c>
    </row>
    <row r="344" spans="1:23" x14ac:dyDescent="0.25">
      <c r="A344" s="76" t="s">
        <v>768</v>
      </c>
      <c r="B344" s="76" t="s">
        <v>361</v>
      </c>
      <c r="C344" s="76" t="s">
        <v>769</v>
      </c>
      <c r="D344" s="97">
        <v>1</v>
      </c>
      <c r="E344" s="98" t="s">
        <v>325</v>
      </c>
      <c r="F344" s="78">
        <v>64000</v>
      </c>
      <c r="G344" s="97">
        <v>1</v>
      </c>
      <c r="H344" s="98" t="s">
        <v>399</v>
      </c>
      <c r="J344" s="99">
        <f>1+Assumptions!$B$11+INDEX(Assumptions!$B$12:$B$15,D344)*Assumptions!$B$16</f>
        <v>1.3</v>
      </c>
      <c r="K344" s="82">
        <f t="shared" si="35"/>
        <v>83200</v>
      </c>
      <c r="L344" s="100">
        <f>IF(E344="Yes",MAX(0,Assumptions!$B$8-G344+1),0)</f>
        <v>8</v>
      </c>
      <c r="M344" s="82">
        <f t="shared" si="36"/>
        <v>55466.666666666664</v>
      </c>
      <c r="N344" s="100">
        <f>MIN(1,SUMIFS(Roster!$N$5:$N$1504,Roster!$B$5:$B$1504,$A344))</f>
        <v>1</v>
      </c>
      <c r="O344" s="100">
        <f>SUMIFS(Roster!$L$5:$L$1504,Roster!$B$5:$B$1504,$A344)</f>
        <v>8</v>
      </c>
      <c r="P344" s="83">
        <f>SUMIFS(Roster!$M$5:$M$1504,Roster!$B$5:$B$1504,$A344)*J344</f>
        <v>55726.666666666664</v>
      </c>
      <c r="Q344" s="83">
        <f>SUMIFS(Roster!$O$5:$O$1504,Roster!$B$5:$B$1504,$A344)*J344</f>
        <v>83590</v>
      </c>
      <c r="R344" s="82">
        <f t="shared" si="37"/>
        <v>83590</v>
      </c>
      <c r="S344" s="82">
        <f t="shared" si="38"/>
        <v>0</v>
      </c>
      <c r="T344" s="82">
        <f t="shared" si="39"/>
        <v>-260</v>
      </c>
      <c r="U344" s="82">
        <f t="shared" si="40"/>
        <v>0</v>
      </c>
      <c r="V344" s="83">
        <f>IF(COUNTIFS(Roster!$B$5:$B$1504,$A344,Roster!$G$5:$G$1504,"&gt;0")=0,0,SUMIFS(Roster!$H$5:$H$1504,Roster!$B$5:$B$1504,$A344,Roster!$G$5:$G$1504,_xlfn.MAXIFS(Roster!$G$5:$G$1504,Roster!$B$5:$B$1504,$A344)))</f>
        <v>0</v>
      </c>
      <c r="W344" s="101" t="str">
        <f t="shared" si="41"/>
        <v>Filled</v>
      </c>
    </row>
    <row r="345" spans="1:23" x14ac:dyDescent="0.25">
      <c r="A345" s="76" t="s">
        <v>770</v>
      </c>
      <c r="B345" s="76" t="s">
        <v>361</v>
      </c>
      <c r="C345" s="76" t="s">
        <v>771</v>
      </c>
      <c r="D345" s="97">
        <v>1</v>
      </c>
      <c r="E345" s="98" t="s">
        <v>325</v>
      </c>
      <c r="F345" s="78">
        <v>69000</v>
      </c>
      <c r="G345" s="97">
        <v>1</v>
      </c>
      <c r="H345" s="98" t="s">
        <v>399</v>
      </c>
      <c r="J345" s="99">
        <f>1+Assumptions!$B$11+INDEX(Assumptions!$B$12:$B$15,D345)*Assumptions!$B$16</f>
        <v>1.3</v>
      </c>
      <c r="K345" s="82">
        <f t="shared" si="35"/>
        <v>89700</v>
      </c>
      <c r="L345" s="100">
        <f>IF(E345="Yes",MAX(0,Assumptions!$B$8-G345+1),0)</f>
        <v>8</v>
      </c>
      <c r="M345" s="82">
        <f t="shared" si="36"/>
        <v>59800</v>
      </c>
      <c r="N345" s="100">
        <f>MIN(1,SUMIFS(Roster!$N$5:$N$1504,Roster!$B$5:$B$1504,$A345))</f>
        <v>1</v>
      </c>
      <c r="O345" s="100">
        <f>SUMIFS(Roster!$L$5:$L$1504,Roster!$B$5:$B$1504,$A345)</f>
        <v>8</v>
      </c>
      <c r="P345" s="83">
        <f>SUMIFS(Roster!$M$5:$M$1504,Roster!$B$5:$B$1504,$A345)*J345</f>
        <v>60233.333333333336</v>
      </c>
      <c r="Q345" s="83">
        <f>SUMIFS(Roster!$O$5:$O$1504,Roster!$B$5:$B$1504,$A345)*J345</f>
        <v>90350</v>
      </c>
      <c r="R345" s="82">
        <f t="shared" si="37"/>
        <v>90350</v>
      </c>
      <c r="S345" s="82">
        <f t="shared" si="38"/>
        <v>0</v>
      </c>
      <c r="T345" s="82">
        <f t="shared" si="39"/>
        <v>-433.33333333333576</v>
      </c>
      <c r="U345" s="82">
        <f t="shared" si="40"/>
        <v>0</v>
      </c>
      <c r="V345" s="83">
        <f>IF(COUNTIFS(Roster!$B$5:$B$1504,$A345,Roster!$G$5:$G$1504,"&gt;0")=0,0,SUMIFS(Roster!$H$5:$H$1504,Roster!$B$5:$B$1504,$A345,Roster!$G$5:$G$1504,_xlfn.MAXIFS(Roster!$G$5:$G$1504,Roster!$B$5:$B$1504,$A345)))</f>
        <v>0</v>
      </c>
      <c r="W345" s="101" t="str">
        <f t="shared" si="41"/>
        <v>Filled</v>
      </c>
    </row>
    <row r="346" spans="1:23" x14ac:dyDescent="0.25">
      <c r="A346" s="76" t="s">
        <v>772</v>
      </c>
      <c r="B346" s="76" t="s">
        <v>361</v>
      </c>
      <c r="C346" s="76" t="s">
        <v>769</v>
      </c>
      <c r="D346" s="97">
        <v>1</v>
      </c>
      <c r="E346" s="98" t="s">
        <v>325</v>
      </c>
      <c r="F346" s="78">
        <v>63000</v>
      </c>
      <c r="G346" s="97">
        <v>1</v>
      </c>
      <c r="H346" s="98" t="s">
        <v>399</v>
      </c>
      <c r="J346" s="99">
        <f>1+Assumptions!$B$11+INDEX(Assumptions!$B$12:$B$15,D346)*Assumptions!$B$16</f>
        <v>1.3</v>
      </c>
      <c r="K346" s="82">
        <f t="shared" si="35"/>
        <v>81900</v>
      </c>
      <c r="L346" s="100">
        <f>IF(E346="Yes",MAX(0,Assumptions!$B$8-G346+1),0)</f>
        <v>8</v>
      </c>
      <c r="M346" s="82">
        <f t="shared" si="36"/>
        <v>54600</v>
      </c>
      <c r="N346" s="100">
        <f>MIN(1,SUMIFS(Roster!$N$5:$N$1504,Roster!$B$5:$B$1504,$A346))</f>
        <v>1</v>
      </c>
      <c r="O346" s="100">
        <f>SUMIFS(Roster!$L$5:$L$1504,Roster!$B$5:$B$1504,$A346)</f>
        <v>8</v>
      </c>
      <c r="P346" s="83">
        <f>SUMIFS(Roster!$M$5:$M$1504,Roster!$B$5:$B$1504,$A346)*J346</f>
        <v>54340</v>
      </c>
      <c r="Q346" s="83">
        <f>SUMIFS(Roster!$O$5:$O$1504,Roster!$B$5:$B$1504,$A346)*J346</f>
        <v>81510</v>
      </c>
      <c r="R346" s="82">
        <f t="shared" si="37"/>
        <v>81510</v>
      </c>
      <c r="S346" s="82">
        <f t="shared" si="38"/>
        <v>0</v>
      </c>
      <c r="T346" s="82">
        <f t="shared" si="39"/>
        <v>260</v>
      </c>
      <c r="U346" s="82">
        <f t="shared" si="40"/>
        <v>0</v>
      </c>
      <c r="V346" s="83">
        <f>IF(COUNTIFS(Roster!$B$5:$B$1504,$A346,Roster!$G$5:$G$1504,"&gt;0")=0,0,SUMIFS(Roster!$H$5:$H$1504,Roster!$B$5:$B$1504,$A346,Roster!$G$5:$G$1504,_xlfn.MAXIFS(Roster!$G$5:$G$1504,Roster!$B$5:$B$1504,$A346)))</f>
        <v>0</v>
      </c>
      <c r="W346" s="101" t="str">
        <f t="shared" si="41"/>
        <v>Filled</v>
      </c>
    </row>
    <row r="347" spans="1:23" x14ac:dyDescent="0.25">
      <c r="A347" s="76" t="s">
        <v>773</v>
      </c>
      <c r="B347" s="76" t="s">
        <v>361</v>
      </c>
      <c r="C347" s="76" t="s">
        <v>774</v>
      </c>
      <c r="D347" s="97">
        <v>4</v>
      </c>
      <c r="E347" s="98" t="s">
        <v>325</v>
      </c>
      <c r="F347" s="78">
        <v>153500</v>
      </c>
      <c r="G347" s="97">
        <v>1</v>
      </c>
      <c r="H347" s="98" t="s">
        <v>399</v>
      </c>
      <c r="J347" s="99">
        <f>1+Assumptions!$B$11+INDEX(Assumptions!$B$12:$B$15,D347)*Assumptions!$B$16</f>
        <v>1.5</v>
      </c>
      <c r="K347" s="82">
        <f t="shared" si="35"/>
        <v>230250</v>
      </c>
      <c r="L347" s="100">
        <f>IF(E347="Yes",MAX(0,Assumptions!$B$8-G347+1),0)</f>
        <v>8</v>
      </c>
      <c r="M347" s="82">
        <f t="shared" si="36"/>
        <v>153500</v>
      </c>
      <c r="N347" s="100">
        <f>MIN(1,SUMIFS(Roster!$N$5:$N$1504,Roster!$B$5:$B$1504,$A347))</f>
        <v>1</v>
      </c>
      <c r="O347" s="100">
        <f>SUMIFS(Roster!$L$5:$L$1504,Roster!$B$5:$B$1504,$A347)</f>
        <v>8</v>
      </c>
      <c r="P347" s="83">
        <f>SUMIFS(Roster!$M$5:$M$1504,Roster!$B$5:$B$1504,$A347)*J347</f>
        <v>155100</v>
      </c>
      <c r="Q347" s="83">
        <f>SUMIFS(Roster!$O$5:$O$1504,Roster!$B$5:$B$1504,$A347)*J347</f>
        <v>232650</v>
      </c>
      <c r="R347" s="82">
        <f t="shared" si="37"/>
        <v>232650</v>
      </c>
      <c r="S347" s="82">
        <f t="shared" si="38"/>
        <v>0</v>
      </c>
      <c r="T347" s="82">
        <f t="shared" si="39"/>
        <v>-1600</v>
      </c>
      <c r="U347" s="82">
        <f t="shared" si="40"/>
        <v>0</v>
      </c>
      <c r="V347" s="83">
        <f>IF(COUNTIFS(Roster!$B$5:$B$1504,$A347,Roster!$G$5:$G$1504,"&gt;0")=0,0,SUMIFS(Roster!$H$5:$H$1504,Roster!$B$5:$B$1504,$A347,Roster!$G$5:$G$1504,_xlfn.MAXIFS(Roster!$G$5:$G$1504,Roster!$B$5:$B$1504,$A347)))</f>
        <v>0</v>
      </c>
      <c r="W347" s="101" t="str">
        <f t="shared" si="41"/>
        <v>Filled</v>
      </c>
    </row>
    <row r="348" spans="1:23" x14ac:dyDescent="0.25">
      <c r="A348" s="76" t="s">
        <v>775</v>
      </c>
      <c r="B348" s="76" t="s">
        <v>361</v>
      </c>
      <c r="C348" s="76" t="s">
        <v>776</v>
      </c>
      <c r="D348" s="97">
        <v>3</v>
      </c>
      <c r="E348" s="98" t="s">
        <v>325</v>
      </c>
      <c r="F348" s="78">
        <v>109000</v>
      </c>
      <c r="G348" s="97">
        <v>1</v>
      </c>
      <c r="H348" s="98" t="s">
        <v>399</v>
      </c>
      <c r="J348" s="99">
        <f>1+Assumptions!$B$11+INDEX(Assumptions!$B$12:$B$15,D348)*Assumptions!$B$16</f>
        <v>1.4</v>
      </c>
      <c r="K348" s="82">
        <f t="shared" si="35"/>
        <v>152600</v>
      </c>
      <c r="L348" s="100">
        <f>IF(E348="Yes",MAX(0,Assumptions!$B$8-G348+1),0)</f>
        <v>8</v>
      </c>
      <c r="M348" s="82">
        <f t="shared" si="36"/>
        <v>101733.33333333333</v>
      </c>
      <c r="N348" s="100">
        <f>MIN(1,SUMIFS(Roster!$N$5:$N$1504,Roster!$B$5:$B$1504,$A348))</f>
        <v>1</v>
      </c>
      <c r="O348" s="100">
        <f>SUMIFS(Roster!$L$5:$L$1504,Roster!$B$5:$B$1504,$A348)</f>
        <v>8</v>
      </c>
      <c r="P348" s="83">
        <f>SUMIFS(Roster!$M$5:$M$1504,Roster!$B$5:$B$1504,$A348)*J348</f>
        <v>102293.33333333333</v>
      </c>
      <c r="Q348" s="83">
        <f>SUMIFS(Roster!$O$5:$O$1504,Roster!$B$5:$B$1504,$A348)*J348</f>
        <v>153440</v>
      </c>
      <c r="R348" s="82">
        <f t="shared" si="37"/>
        <v>153440</v>
      </c>
      <c r="S348" s="82">
        <f t="shared" si="38"/>
        <v>0</v>
      </c>
      <c r="T348" s="82">
        <f t="shared" si="39"/>
        <v>-560</v>
      </c>
      <c r="U348" s="82">
        <f t="shared" si="40"/>
        <v>0</v>
      </c>
      <c r="V348" s="83">
        <f>IF(COUNTIFS(Roster!$B$5:$B$1504,$A348,Roster!$G$5:$G$1504,"&gt;0")=0,0,SUMIFS(Roster!$H$5:$H$1504,Roster!$B$5:$B$1504,$A348,Roster!$G$5:$G$1504,_xlfn.MAXIFS(Roster!$G$5:$G$1504,Roster!$B$5:$B$1504,$A348)))</f>
        <v>0</v>
      </c>
      <c r="W348" s="101" t="str">
        <f t="shared" si="41"/>
        <v>Filled</v>
      </c>
    </row>
    <row r="349" spans="1:23" x14ac:dyDescent="0.25">
      <c r="A349" s="76" t="s">
        <v>777</v>
      </c>
      <c r="B349" s="76" t="s">
        <v>361</v>
      </c>
      <c r="C349" s="76" t="s">
        <v>769</v>
      </c>
      <c r="D349" s="97">
        <v>1</v>
      </c>
      <c r="E349" s="98" t="s">
        <v>325</v>
      </c>
      <c r="F349" s="78">
        <v>67500</v>
      </c>
      <c r="G349" s="97">
        <v>1</v>
      </c>
      <c r="H349" s="98" t="s">
        <v>399</v>
      </c>
      <c r="J349" s="99">
        <f>1+Assumptions!$B$11+INDEX(Assumptions!$B$12:$B$15,D349)*Assumptions!$B$16</f>
        <v>1.3</v>
      </c>
      <c r="K349" s="82">
        <f t="shared" si="35"/>
        <v>87750</v>
      </c>
      <c r="L349" s="100">
        <f>IF(E349="Yes",MAX(0,Assumptions!$B$8-G349+1),0)</f>
        <v>8</v>
      </c>
      <c r="M349" s="82">
        <f t="shared" si="36"/>
        <v>58500</v>
      </c>
      <c r="N349" s="100">
        <f>MIN(1,SUMIFS(Roster!$N$5:$N$1504,Roster!$B$5:$B$1504,$A349))</f>
        <v>1</v>
      </c>
      <c r="O349" s="100">
        <f>SUMIFS(Roster!$L$5:$L$1504,Roster!$B$5:$B$1504,$A349)</f>
        <v>8</v>
      </c>
      <c r="P349" s="83">
        <f>SUMIFS(Roster!$M$5:$M$1504,Roster!$B$5:$B$1504,$A349)*J349</f>
        <v>58846.666666666664</v>
      </c>
      <c r="Q349" s="83">
        <f>SUMIFS(Roster!$O$5:$O$1504,Roster!$B$5:$B$1504,$A349)*J349</f>
        <v>88270</v>
      </c>
      <c r="R349" s="82">
        <f t="shared" si="37"/>
        <v>88270</v>
      </c>
      <c r="S349" s="82">
        <f t="shared" si="38"/>
        <v>0</v>
      </c>
      <c r="T349" s="82">
        <f t="shared" si="39"/>
        <v>-346.66666666666424</v>
      </c>
      <c r="U349" s="82">
        <f t="shared" si="40"/>
        <v>0</v>
      </c>
      <c r="V349" s="83">
        <f>IF(COUNTIFS(Roster!$B$5:$B$1504,$A349,Roster!$G$5:$G$1504,"&gt;0")=0,0,SUMIFS(Roster!$H$5:$H$1504,Roster!$B$5:$B$1504,$A349,Roster!$G$5:$G$1504,_xlfn.MAXIFS(Roster!$G$5:$G$1504,Roster!$B$5:$B$1504,$A349)))</f>
        <v>0</v>
      </c>
      <c r="W349" s="101" t="str">
        <f t="shared" si="41"/>
        <v>Filled</v>
      </c>
    </row>
    <row r="350" spans="1:23" x14ac:dyDescent="0.25">
      <c r="A350" s="76" t="s">
        <v>778</v>
      </c>
      <c r="B350" s="76" t="s">
        <v>361</v>
      </c>
      <c r="C350" s="76" t="s">
        <v>776</v>
      </c>
      <c r="D350" s="97">
        <v>3</v>
      </c>
      <c r="E350" s="98" t="s">
        <v>325</v>
      </c>
      <c r="F350" s="78">
        <v>106000</v>
      </c>
      <c r="G350" s="97">
        <v>1</v>
      </c>
      <c r="H350" s="98" t="s">
        <v>399</v>
      </c>
      <c r="J350" s="99">
        <f>1+Assumptions!$B$11+INDEX(Assumptions!$B$12:$B$15,D350)*Assumptions!$B$16</f>
        <v>1.4</v>
      </c>
      <c r="K350" s="82">
        <f t="shared" si="35"/>
        <v>148400</v>
      </c>
      <c r="L350" s="100">
        <f>IF(E350="Yes",MAX(0,Assumptions!$B$8-G350+1),0)</f>
        <v>8</v>
      </c>
      <c r="M350" s="82">
        <f t="shared" si="36"/>
        <v>98933.333333333328</v>
      </c>
      <c r="N350" s="100">
        <f>MIN(1,SUMIFS(Roster!$N$5:$N$1504,Roster!$B$5:$B$1504,$A350))</f>
        <v>1</v>
      </c>
      <c r="O350" s="100">
        <f>SUMIFS(Roster!$L$5:$L$1504,Roster!$B$5:$B$1504,$A350)</f>
        <v>8</v>
      </c>
      <c r="P350" s="83">
        <f>SUMIFS(Roster!$M$5:$M$1504,Roster!$B$5:$B$1504,$A350)*J350</f>
        <v>98746.666666666657</v>
      </c>
      <c r="Q350" s="83">
        <f>SUMIFS(Roster!$O$5:$O$1504,Roster!$B$5:$B$1504,$A350)*J350</f>
        <v>148120</v>
      </c>
      <c r="R350" s="82">
        <f t="shared" si="37"/>
        <v>148120</v>
      </c>
      <c r="S350" s="82">
        <f t="shared" si="38"/>
        <v>0</v>
      </c>
      <c r="T350" s="82">
        <f t="shared" si="39"/>
        <v>186.66666666667152</v>
      </c>
      <c r="U350" s="82">
        <f t="shared" si="40"/>
        <v>0</v>
      </c>
      <c r="V350" s="83">
        <f>IF(COUNTIFS(Roster!$B$5:$B$1504,$A350,Roster!$G$5:$G$1504,"&gt;0")=0,0,SUMIFS(Roster!$H$5:$H$1504,Roster!$B$5:$B$1504,$A350,Roster!$G$5:$G$1504,_xlfn.MAXIFS(Roster!$G$5:$G$1504,Roster!$B$5:$B$1504,$A350)))</f>
        <v>0</v>
      </c>
      <c r="W350" s="101" t="str">
        <f t="shared" si="41"/>
        <v>Filled</v>
      </c>
    </row>
    <row r="351" spans="1:23" x14ac:dyDescent="0.25">
      <c r="A351" s="76" t="s">
        <v>779</v>
      </c>
      <c r="B351" s="76" t="s">
        <v>361</v>
      </c>
      <c r="C351" s="76" t="s">
        <v>769</v>
      </c>
      <c r="D351" s="97">
        <v>1</v>
      </c>
      <c r="E351" s="98" t="s">
        <v>325</v>
      </c>
      <c r="F351" s="78">
        <v>54500</v>
      </c>
      <c r="G351" s="97">
        <v>1</v>
      </c>
      <c r="H351" s="98" t="s">
        <v>399</v>
      </c>
      <c r="J351" s="99">
        <f>1+Assumptions!$B$11+INDEX(Assumptions!$B$12:$B$15,D351)*Assumptions!$B$16</f>
        <v>1.3</v>
      </c>
      <c r="K351" s="82">
        <f t="shared" si="35"/>
        <v>70850</v>
      </c>
      <c r="L351" s="100">
        <f>IF(E351="Yes",MAX(0,Assumptions!$B$8-G351+1),0)</f>
        <v>8</v>
      </c>
      <c r="M351" s="82">
        <f t="shared" si="36"/>
        <v>47233.333333333336</v>
      </c>
      <c r="N351" s="100">
        <f>MIN(1,SUMIFS(Roster!$N$5:$N$1504,Roster!$B$5:$B$1504,$A351))</f>
        <v>1</v>
      </c>
      <c r="O351" s="100">
        <f>SUMIFS(Roster!$L$5:$L$1504,Roster!$B$5:$B$1504,$A351)</f>
        <v>7</v>
      </c>
      <c r="P351" s="83">
        <f>SUMIFS(Roster!$M$5:$M$1504,Roster!$B$5:$B$1504,$A351)*J351</f>
        <v>42390.833333333336</v>
      </c>
      <c r="Q351" s="83">
        <f>SUMIFS(Roster!$O$5:$O$1504,Roster!$B$5:$B$1504,$A351)*J351</f>
        <v>72800</v>
      </c>
      <c r="R351" s="82">
        <f t="shared" si="37"/>
        <v>72800</v>
      </c>
      <c r="S351" s="82">
        <f t="shared" si="38"/>
        <v>5904.166666666667</v>
      </c>
      <c r="T351" s="82">
        <f t="shared" si="39"/>
        <v>-1061.6666666666715</v>
      </c>
      <c r="U351" s="82">
        <f t="shared" si="40"/>
        <v>0</v>
      </c>
      <c r="V351" s="83">
        <f>IF(COUNTIFS(Roster!$B$5:$B$1504,$A351,Roster!$G$5:$G$1504,"&gt;0")=0,0,SUMIFS(Roster!$H$5:$H$1504,Roster!$B$5:$B$1504,$A351,Roster!$G$5:$G$1504,_xlfn.MAXIFS(Roster!$G$5:$G$1504,Roster!$B$5:$B$1504,$A351)))</f>
        <v>55300</v>
      </c>
      <c r="W351" s="101" t="str">
        <f t="shared" si="41"/>
        <v>Filled</v>
      </c>
    </row>
    <row r="352" spans="1:23" x14ac:dyDescent="0.25">
      <c r="A352" s="76" t="s">
        <v>780</v>
      </c>
      <c r="B352" s="76" t="s">
        <v>361</v>
      </c>
      <c r="C352" s="76" t="s">
        <v>771</v>
      </c>
      <c r="D352" s="97">
        <v>1</v>
      </c>
      <c r="E352" s="98" t="s">
        <v>325</v>
      </c>
      <c r="F352" s="78">
        <v>66000</v>
      </c>
      <c r="G352" s="97">
        <v>1</v>
      </c>
      <c r="H352" s="98" t="s">
        <v>399</v>
      </c>
      <c r="J352" s="99">
        <f>1+Assumptions!$B$11+INDEX(Assumptions!$B$12:$B$15,D352)*Assumptions!$B$16</f>
        <v>1.3</v>
      </c>
      <c r="K352" s="82">
        <f t="shared" si="35"/>
        <v>85800</v>
      </c>
      <c r="L352" s="100">
        <f>IF(E352="Yes",MAX(0,Assumptions!$B$8-G352+1),0)</f>
        <v>8</v>
      </c>
      <c r="M352" s="82">
        <f t="shared" si="36"/>
        <v>57200</v>
      </c>
      <c r="N352" s="100">
        <f>MIN(1,SUMIFS(Roster!$N$5:$N$1504,Roster!$B$5:$B$1504,$A352))</f>
        <v>1</v>
      </c>
      <c r="O352" s="100">
        <f>SUMIFS(Roster!$L$5:$L$1504,Roster!$B$5:$B$1504,$A352)</f>
        <v>8</v>
      </c>
      <c r="P352" s="83">
        <f>SUMIFS(Roster!$M$5:$M$1504,Roster!$B$5:$B$1504,$A352)*J352</f>
        <v>57546.666666666664</v>
      </c>
      <c r="Q352" s="83">
        <f>SUMIFS(Roster!$O$5:$O$1504,Roster!$B$5:$B$1504,$A352)*J352</f>
        <v>86320</v>
      </c>
      <c r="R352" s="82">
        <f t="shared" si="37"/>
        <v>86320</v>
      </c>
      <c r="S352" s="82">
        <f t="shared" si="38"/>
        <v>0</v>
      </c>
      <c r="T352" s="82">
        <f t="shared" si="39"/>
        <v>-346.66666666666424</v>
      </c>
      <c r="U352" s="82">
        <f t="shared" si="40"/>
        <v>0</v>
      </c>
      <c r="V352" s="83">
        <f>IF(COUNTIFS(Roster!$B$5:$B$1504,$A352,Roster!$G$5:$G$1504,"&gt;0")=0,0,SUMIFS(Roster!$H$5:$H$1504,Roster!$B$5:$B$1504,$A352,Roster!$G$5:$G$1504,_xlfn.MAXIFS(Roster!$G$5:$G$1504,Roster!$B$5:$B$1504,$A352)))</f>
        <v>0</v>
      </c>
      <c r="W352" s="101" t="str">
        <f t="shared" si="41"/>
        <v>Filled</v>
      </c>
    </row>
    <row r="353" spans="1:23" x14ac:dyDescent="0.25">
      <c r="A353" s="76" t="s">
        <v>781</v>
      </c>
      <c r="B353" s="76" t="s">
        <v>361</v>
      </c>
      <c r="C353" s="76" t="s">
        <v>769</v>
      </c>
      <c r="D353" s="97">
        <v>1</v>
      </c>
      <c r="E353" s="98" t="s">
        <v>325</v>
      </c>
      <c r="F353" s="78">
        <v>65500</v>
      </c>
      <c r="G353" s="97">
        <v>1</v>
      </c>
      <c r="H353" s="98" t="s">
        <v>399</v>
      </c>
      <c r="J353" s="99">
        <f>1+Assumptions!$B$11+INDEX(Assumptions!$B$12:$B$15,D353)*Assumptions!$B$16</f>
        <v>1.3</v>
      </c>
      <c r="K353" s="82">
        <f t="shared" si="35"/>
        <v>85150</v>
      </c>
      <c r="L353" s="100">
        <f>IF(E353="Yes",MAX(0,Assumptions!$B$8-G353+1),0)</f>
        <v>8</v>
      </c>
      <c r="M353" s="82">
        <f t="shared" si="36"/>
        <v>56766.666666666664</v>
      </c>
      <c r="N353" s="100">
        <f>MIN(1,SUMIFS(Roster!$N$5:$N$1504,Roster!$B$5:$B$1504,$A353))</f>
        <v>1</v>
      </c>
      <c r="O353" s="100">
        <f>SUMIFS(Roster!$L$5:$L$1504,Roster!$B$5:$B$1504,$A353)</f>
        <v>8</v>
      </c>
      <c r="P353" s="83">
        <f>SUMIFS(Roster!$M$5:$M$1504,Roster!$B$5:$B$1504,$A353)*J353</f>
        <v>56246.666666666664</v>
      </c>
      <c r="Q353" s="83">
        <f>SUMIFS(Roster!$O$5:$O$1504,Roster!$B$5:$B$1504,$A353)*J353</f>
        <v>84370</v>
      </c>
      <c r="R353" s="82">
        <f t="shared" si="37"/>
        <v>84370</v>
      </c>
      <c r="S353" s="82">
        <f t="shared" si="38"/>
        <v>0</v>
      </c>
      <c r="T353" s="82">
        <f t="shared" si="39"/>
        <v>520</v>
      </c>
      <c r="U353" s="82">
        <f t="shared" si="40"/>
        <v>0</v>
      </c>
      <c r="V353" s="83">
        <f>IF(COUNTIFS(Roster!$B$5:$B$1504,$A353,Roster!$G$5:$G$1504,"&gt;0")=0,0,SUMIFS(Roster!$H$5:$H$1504,Roster!$B$5:$B$1504,$A353,Roster!$G$5:$G$1504,_xlfn.MAXIFS(Roster!$G$5:$G$1504,Roster!$B$5:$B$1504,$A353)))</f>
        <v>0</v>
      </c>
      <c r="W353" s="101" t="str">
        <f t="shared" si="41"/>
        <v>Filled</v>
      </c>
    </row>
    <row r="354" spans="1:23" x14ac:dyDescent="0.25">
      <c r="A354" s="76" t="s">
        <v>782</v>
      </c>
      <c r="B354" s="76" t="s">
        <v>361</v>
      </c>
      <c r="C354" s="76" t="s">
        <v>776</v>
      </c>
      <c r="D354" s="97">
        <v>3</v>
      </c>
      <c r="E354" s="98" t="s">
        <v>325</v>
      </c>
      <c r="F354" s="78">
        <v>120000</v>
      </c>
      <c r="G354" s="97">
        <v>1</v>
      </c>
      <c r="H354" s="98" t="s">
        <v>399</v>
      </c>
      <c r="J354" s="99">
        <f>1+Assumptions!$B$11+INDEX(Assumptions!$B$12:$B$15,D354)*Assumptions!$B$16</f>
        <v>1.4</v>
      </c>
      <c r="K354" s="82">
        <f t="shared" si="35"/>
        <v>168000</v>
      </c>
      <c r="L354" s="100">
        <f>IF(E354="Yes",MAX(0,Assumptions!$B$8-G354+1),0)</f>
        <v>8</v>
      </c>
      <c r="M354" s="82">
        <f t="shared" si="36"/>
        <v>112000</v>
      </c>
      <c r="N354" s="100">
        <f>MIN(1,SUMIFS(Roster!$N$5:$N$1504,Roster!$B$5:$B$1504,$A354))</f>
        <v>0</v>
      </c>
      <c r="O354" s="100">
        <f>SUMIFS(Roster!$L$5:$L$1504,Roster!$B$5:$B$1504,$A354)</f>
        <v>7</v>
      </c>
      <c r="P354" s="83">
        <f>SUMIFS(Roster!$M$5:$M$1504,Roster!$B$5:$B$1504,$A354)*J354</f>
        <v>99470</v>
      </c>
      <c r="Q354" s="83">
        <f>SUMIFS(Roster!$O$5:$O$1504,Roster!$B$5:$B$1504,$A354)*J354</f>
        <v>0</v>
      </c>
      <c r="R354" s="82">
        <f t="shared" si="37"/>
        <v>168000</v>
      </c>
      <c r="S354" s="82">
        <f t="shared" si="38"/>
        <v>14000</v>
      </c>
      <c r="T354" s="82">
        <f t="shared" si="39"/>
        <v>-1470</v>
      </c>
      <c r="U354" s="82">
        <f t="shared" si="40"/>
        <v>0</v>
      </c>
      <c r="V354" s="83">
        <f>IF(COUNTIFS(Roster!$B$5:$B$1504,$A354,Roster!$G$5:$G$1504,"&gt;0")=0,0,SUMIFS(Roster!$H$5:$H$1504,Roster!$B$5:$B$1504,$A354,Roster!$G$5:$G$1504,_xlfn.MAXIFS(Roster!$G$5:$G$1504,Roster!$B$5:$B$1504,$A354)))</f>
        <v>121800</v>
      </c>
      <c r="W354" s="101" t="str">
        <f t="shared" si="41"/>
        <v>Open: to fill</v>
      </c>
    </row>
    <row r="355" spans="1:23" x14ac:dyDescent="0.25">
      <c r="A355" s="76" t="s">
        <v>783</v>
      </c>
      <c r="B355" s="76" t="s">
        <v>361</v>
      </c>
      <c r="C355" s="76" t="s">
        <v>769</v>
      </c>
      <c r="D355" s="97">
        <v>1</v>
      </c>
      <c r="E355" s="98" t="s">
        <v>325</v>
      </c>
      <c r="F355" s="78">
        <v>66500</v>
      </c>
      <c r="G355" s="97">
        <v>1</v>
      </c>
      <c r="H355" s="98" t="s">
        <v>399</v>
      </c>
      <c r="J355" s="99">
        <f>1+Assumptions!$B$11+INDEX(Assumptions!$B$12:$B$15,D355)*Assumptions!$B$16</f>
        <v>1.3</v>
      </c>
      <c r="K355" s="82">
        <f t="shared" si="35"/>
        <v>86450</v>
      </c>
      <c r="L355" s="100">
        <f>IF(E355="Yes",MAX(0,Assumptions!$B$8-G355+1),0)</f>
        <v>8</v>
      </c>
      <c r="M355" s="82">
        <f t="shared" si="36"/>
        <v>57633.333333333336</v>
      </c>
      <c r="N355" s="100">
        <f>MIN(1,SUMIFS(Roster!$N$5:$N$1504,Roster!$B$5:$B$1504,$A355))</f>
        <v>1</v>
      </c>
      <c r="O355" s="100">
        <f>SUMIFS(Roster!$L$5:$L$1504,Roster!$B$5:$B$1504,$A355)</f>
        <v>8</v>
      </c>
      <c r="P355" s="83">
        <f>SUMIFS(Roster!$M$5:$M$1504,Roster!$B$5:$B$1504,$A355)*J355</f>
        <v>57546.666666666664</v>
      </c>
      <c r="Q355" s="83">
        <f>SUMIFS(Roster!$O$5:$O$1504,Roster!$B$5:$B$1504,$A355)*J355</f>
        <v>86320</v>
      </c>
      <c r="R355" s="82">
        <f t="shared" si="37"/>
        <v>86320</v>
      </c>
      <c r="S355" s="82">
        <f t="shared" si="38"/>
        <v>0</v>
      </c>
      <c r="T355" s="82">
        <f t="shared" si="39"/>
        <v>86.666666666671517</v>
      </c>
      <c r="U355" s="82">
        <f t="shared" si="40"/>
        <v>0</v>
      </c>
      <c r="V355" s="83">
        <f>IF(COUNTIFS(Roster!$B$5:$B$1504,$A355,Roster!$G$5:$G$1504,"&gt;0")=0,0,SUMIFS(Roster!$H$5:$H$1504,Roster!$B$5:$B$1504,$A355,Roster!$G$5:$G$1504,_xlfn.MAXIFS(Roster!$G$5:$G$1504,Roster!$B$5:$B$1504,$A355)))</f>
        <v>0</v>
      </c>
      <c r="W355" s="101" t="str">
        <f t="shared" si="41"/>
        <v>Filled</v>
      </c>
    </row>
    <row r="356" spans="1:23" x14ac:dyDescent="0.25">
      <c r="A356" s="76" t="s">
        <v>784</v>
      </c>
      <c r="B356" s="76" t="s">
        <v>361</v>
      </c>
      <c r="C356" s="76" t="s">
        <v>769</v>
      </c>
      <c r="D356" s="97">
        <v>1</v>
      </c>
      <c r="E356" s="98" t="s">
        <v>325</v>
      </c>
      <c r="F356" s="78">
        <v>61000</v>
      </c>
      <c r="G356" s="97">
        <v>1</v>
      </c>
      <c r="H356" s="98" t="s">
        <v>399</v>
      </c>
      <c r="J356" s="99">
        <f>1+Assumptions!$B$11+INDEX(Assumptions!$B$12:$B$15,D356)*Assumptions!$B$16</f>
        <v>1.3</v>
      </c>
      <c r="K356" s="82">
        <f t="shared" si="35"/>
        <v>79300</v>
      </c>
      <c r="L356" s="100">
        <f>IF(E356="Yes",MAX(0,Assumptions!$B$8-G356+1),0)</f>
        <v>8</v>
      </c>
      <c r="M356" s="82">
        <f t="shared" si="36"/>
        <v>52866.666666666664</v>
      </c>
      <c r="N356" s="100">
        <f>MIN(1,SUMIFS(Roster!$N$5:$N$1504,Roster!$B$5:$B$1504,$A356))</f>
        <v>1</v>
      </c>
      <c r="O356" s="100">
        <f>SUMIFS(Roster!$L$5:$L$1504,Roster!$B$5:$B$1504,$A356)</f>
        <v>8</v>
      </c>
      <c r="P356" s="83">
        <f>SUMIFS(Roster!$M$5:$M$1504,Roster!$B$5:$B$1504,$A356)*J356</f>
        <v>52173.333333333336</v>
      </c>
      <c r="Q356" s="83">
        <f>SUMIFS(Roster!$O$5:$O$1504,Roster!$B$5:$B$1504,$A356)*J356</f>
        <v>78260</v>
      </c>
      <c r="R356" s="82">
        <f t="shared" si="37"/>
        <v>78260</v>
      </c>
      <c r="S356" s="82">
        <f t="shared" si="38"/>
        <v>0</v>
      </c>
      <c r="T356" s="82">
        <f t="shared" si="39"/>
        <v>693.33333333332848</v>
      </c>
      <c r="U356" s="82">
        <f t="shared" si="40"/>
        <v>0</v>
      </c>
      <c r="V356" s="83">
        <f>IF(COUNTIFS(Roster!$B$5:$B$1504,$A356,Roster!$G$5:$G$1504,"&gt;0")=0,0,SUMIFS(Roster!$H$5:$H$1504,Roster!$B$5:$B$1504,$A356,Roster!$G$5:$G$1504,_xlfn.MAXIFS(Roster!$G$5:$G$1504,Roster!$B$5:$B$1504,$A356)))</f>
        <v>0</v>
      </c>
      <c r="W356" s="101" t="str">
        <f t="shared" si="41"/>
        <v>Filled</v>
      </c>
    </row>
    <row r="357" spans="1:23" x14ac:dyDescent="0.25">
      <c r="A357" s="76" t="s">
        <v>785</v>
      </c>
      <c r="B357" s="76" t="s">
        <v>361</v>
      </c>
      <c r="C357" s="76" t="s">
        <v>769</v>
      </c>
      <c r="D357" s="97">
        <v>1</v>
      </c>
      <c r="E357" s="98" t="s">
        <v>325</v>
      </c>
      <c r="F357" s="78">
        <v>62000</v>
      </c>
      <c r="G357" s="97">
        <v>1</v>
      </c>
      <c r="H357" s="98" t="s">
        <v>399</v>
      </c>
      <c r="J357" s="99">
        <f>1+Assumptions!$B$11+INDEX(Assumptions!$B$12:$B$15,D357)*Assumptions!$B$16</f>
        <v>1.3</v>
      </c>
      <c r="K357" s="82">
        <f t="shared" si="35"/>
        <v>80600</v>
      </c>
      <c r="L357" s="100">
        <f>IF(E357="Yes",MAX(0,Assumptions!$B$8-G357+1),0)</f>
        <v>8</v>
      </c>
      <c r="M357" s="82">
        <f t="shared" si="36"/>
        <v>53733.333333333336</v>
      </c>
      <c r="N357" s="100">
        <f>MIN(1,SUMIFS(Roster!$N$5:$N$1504,Roster!$B$5:$B$1504,$A357))</f>
        <v>1</v>
      </c>
      <c r="O357" s="100">
        <f>SUMIFS(Roster!$L$5:$L$1504,Roster!$B$5:$B$1504,$A357)</f>
        <v>8</v>
      </c>
      <c r="P357" s="83">
        <f>SUMIFS(Roster!$M$5:$M$1504,Roster!$B$5:$B$1504,$A357)*J357</f>
        <v>53906.666666666664</v>
      </c>
      <c r="Q357" s="83">
        <f>SUMIFS(Roster!$O$5:$O$1504,Roster!$B$5:$B$1504,$A357)*J357</f>
        <v>80860</v>
      </c>
      <c r="R357" s="82">
        <f t="shared" si="37"/>
        <v>80860</v>
      </c>
      <c r="S357" s="82">
        <f t="shared" si="38"/>
        <v>0</v>
      </c>
      <c r="T357" s="82">
        <f t="shared" si="39"/>
        <v>-173.33333333332848</v>
      </c>
      <c r="U357" s="82">
        <f t="shared" si="40"/>
        <v>0</v>
      </c>
      <c r="V357" s="83">
        <f>IF(COUNTIFS(Roster!$B$5:$B$1504,$A357,Roster!$G$5:$G$1504,"&gt;0")=0,0,SUMIFS(Roster!$H$5:$H$1504,Roster!$B$5:$B$1504,$A357,Roster!$G$5:$G$1504,_xlfn.MAXIFS(Roster!$G$5:$G$1504,Roster!$B$5:$B$1504,$A357)))</f>
        <v>0</v>
      </c>
      <c r="W357" s="101" t="str">
        <f t="shared" si="41"/>
        <v>Filled</v>
      </c>
    </row>
    <row r="358" spans="1:23" x14ac:dyDescent="0.25">
      <c r="A358" s="76" t="s">
        <v>786</v>
      </c>
      <c r="B358" s="76" t="s">
        <v>361</v>
      </c>
      <c r="C358" s="76" t="s">
        <v>776</v>
      </c>
      <c r="D358" s="97">
        <v>3</v>
      </c>
      <c r="E358" s="98" t="s">
        <v>325</v>
      </c>
      <c r="F358" s="78">
        <v>100000</v>
      </c>
      <c r="G358" s="97">
        <v>1</v>
      </c>
      <c r="H358" s="98" t="s">
        <v>399</v>
      </c>
      <c r="J358" s="99">
        <f>1+Assumptions!$B$11+INDEX(Assumptions!$B$12:$B$15,D358)*Assumptions!$B$16</f>
        <v>1.4</v>
      </c>
      <c r="K358" s="82">
        <f t="shared" si="35"/>
        <v>140000</v>
      </c>
      <c r="L358" s="100">
        <f>IF(E358="Yes",MAX(0,Assumptions!$B$8-G358+1),0)</f>
        <v>8</v>
      </c>
      <c r="M358" s="82">
        <f t="shared" si="36"/>
        <v>93333.333333333328</v>
      </c>
      <c r="N358" s="100">
        <f>MIN(1,SUMIFS(Roster!$N$5:$N$1504,Roster!$B$5:$B$1504,$A358))</f>
        <v>1</v>
      </c>
      <c r="O358" s="100">
        <f>SUMIFS(Roster!$L$5:$L$1504,Roster!$B$5:$B$1504,$A358)</f>
        <v>8</v>
      </c>
      <c r="P358" s="83">
        <f>SUMIFS(Roster!$M$5:$M$1504,Roster!$B$5:$B$1504,$A358)*J358</f>
        <v>94173.333333333328</v>
      </c>
      <c r="Q358" s="83">
        <f>SUMIFS(Roster!$O$5:$O$1504,Roster!$B$5:$B$1504,$A358)*J358</f>
        <v>141260</v>
      </c>
      <c r="R358" s="82">
        <f t="shared" si="37"/>
        <v>141260</v>
      </c>
      <c r="S358" s="82">
        <f t="shared" si="38"/>
        <v>0</v>
      </c>
      <c r="T358" s="82">
        <f t="shared" si="39"/>
        <v>-840</v>
      </c>
      <c r="U358" s="82">
        <f t="shared" si="40"/>
        <v>0</v>
      </c>
      <c r="V358" s="83">
        <f>IF(COUNTIFS(Roster!$B$5:$B$1504,$A358,Roster!$G$5:$G$1504,"&gt;0")=0,0,SUMIFS(Roster!$H$5:$H$1504,Roster!$B$5:$B$1504,$A358,Roster!$G$5:$G$1504,_xlfn.MAXIFS(Roster!$G$5:$G$1504,Roster!$B$5:$B$1504,$A358)))</f>
        <v>0</v>
      </c>
      <c r="W358" s="101" t="str">
        <f t="shared" si="41"/>
        <v>Filled</v>
      </c>
    </row>
    <row r="359" spans="1:23" x14ac:dyDescent="0.25">
      <c r="A359" s="76" t="s">
        <v>787</v>
      </c>
      <c r="B359" s="76" t="s">
        <v>361</v>
      </c>
      <c r="C359" s="76" t="s">
        <v>771</v>
      </c>
      <c r="D359" s="97">
        <v>1</v>
      </c>
      <c r="E359" s="98" t="s">
        <v>325</v>
      </c>
      <c r="F359" s="78">
        <v>63000</v>
      </c>
      <c r="G359" s="97">
        <v>1</v>
      </c>
      <c r="H359" s="98" t="s">
        <v>399</v>
      </c>
      <c r="J359" s="99">
        <f>1+Assumptions!$B$11+INDEX(Assumptions!$B$12:$B$15,D359)*Assumptions!$B$16</f>
        <v>1.3</v>
      </c>
      <c r="K359" s="82">
        <f t="shared" si="35"/>
        <v>81900</v>
      </c>
      <c r="L359" s="100">
        <f>IF(E359="Yes",MAX(0,Assumptions!$B$8-G359+1),0)</f>
        <v>8</v>
      </c>
      <c r="M359" s="82">
        <f t="shared" si="36"/>
        <v>54600</v>
      </c>
      <c r="N359" s="100">
        <f>MIN(1,SUMIFS(Roster!$N$5:$N$1504,Roster!$B$5:$B$1504,$A359))</f>
        <v>1</v>
      </c>
      <c r="O359" s="100">
        <f>SUMIFS(Roster!$L$5:$L$1504,Roster!$B$5:$B$1504,$A359)</f>
        <v>8</v>
      </c>
      <c r="P359" s="83">
        <f>SUMIFS(Roster!$M$5:$M$1504,Roster!$B$5:$B$1504,$A359)*J359</f>
        <v>55033.333333333336</v>
      </c>
      <c r="Q359" s="83">
        <f>SUMIFS(Roster!$O$5:$O$1504,Roster!$B$5:$B$1504,$A359)*J359</f>
        <v>82550</v>
      </c>
      <c r="R359" s="82">
        <f t="shared" si="37"/>
        <v>82550</v>
      </c>
      <c r="S359" s="82">
        <f t="shared" si="38"/>
        <v>0</v>
      </c>
      <c r="T359" s="82">
        <f t="shared" si="39"/>
        <v>-433.33333333333576</v>
      </c>
      <c r="U359" s="82">
        <f t="shared" si="40"/>
        <v>0</v>
      </c>
      <c r="V359" s="83">
        <f>IF(COUNTIFS(Roster!$B$5:$B$1504,$A359,Roster!$G$5:$G$1504,"&gt;0")=0,0,SUMIFS(Roster!$H$5:$H$1504,Roster!$B$5:$B$1504,$A359,Roster!$G$5:$G$1504,_xlfn.MAXIFS(Roster!$G$5:$G$1504,Roster!$B$5:$B$1504,$A359)))</f>
        <v>0</v>
      </c>
      <c r="W359" s="101" t="str">
        <f t="shared" si="41"/>
        <v>Filled</v>
      </c>
    </row>
    <row r="360" spans="1:23" x14ac:dyDescent="0.25">
      <c r="A360" s="76" t="s">
        <v>788</v>
      </c>
      <c r="B360" s="76" t="s">
        <v>361</v>
      </c>
      <c r="C360" s="76" t="s">
        <v>771</v>
      </c>
      <c r="D360" s="97">
        <v>1</v>
      </c>
      <c r="E360" s="98" t="s">
        <v>325</v>
      </c>
      <c r="F360" s="78">
        <v>55500</v>
      </c>
      <c r="G360" s="97">
        <v>1</v>
      </c>
      <c r="H360" s="98" t="s">
        <v>399</v>
      </c>
      <c r="J360" s="99">
        <f>1+Assumptions!$B$11+INDEX(Assumptions!$B$12:$B$15,D360)*Assumptions!$B$16</f>
        <v>1.3</v>
      </c>
      <c r="K360" s="82">
        <f t="shared" si="35"/>
        <v>72150</v>
      </c>
      <c r="L360" s="100">
        <f>IF(E360="Yes",MAX(0,Assumptions!$B$8-G360+1),0)</f>
        <v>8</v>
      </c>
      <c r="M360" s="82">
        <f t="shared" si="36"/>
        <v>48100</v>
      </c>
      <c r="N360" s="100">
        <f>MIN(1,SUMIFS(Roster!$N$5:$N$1504,Roster!$B$5:$B$1504,$A360))</f>
        <v>1</v>
      </c>
      <c r="O360" s="100">
        <f>SUMIFS(Roster!$L$5:$L$1504,Roster!$B$5:$B$1504,$A360)</f>
        <v>8</v>
      </c>
      <c r="P360" s="83">
        <f>SUMIFS(Roster!$M$5:$M$1504,Roster!$B$5:$B$1504,$A360)*J360</f>
        <v>47406.666666666664</v>
      </c>
      <c r="Q360" s="83">
        <f>SUMIFS(Roster!$O$5:$O$1504,Roster!$B$5:$B$1504,$A360)*J360</f>
        <v>71110</v>
      </c>
      <c r="R360" s="82">
        <f t="shared" si="37"/>
        <v>71110</v>
      </c>
      <c r="S360" s="82">
        <f t="shared" si="38"/>
        <v>0</v>
      </c>
      <c r="T360" s="82">
        <f t="shared" si="39"/>
        <v>693.33333333333576</v>
      </c>
      <c r="U360" s="82">
        <f t="shared" si="40"/>
        <v>0</v>
      </c>
      <c r="V360" s="83">
        <f>IF(COUNTIFS(Roster!$B$5:$B$1504,$A360,Roster!$G$5:$G$1504,"&gt;0")=0,0,SUMIFS(Roster!$H$5:$H$1504,Roster!$B$5:$B$1504,$A360,Roster!$G$5:$G$1504,_xlfn.MAXIFS(Roster!$G$5:$G$1504,Roster!$B$5:$B$1504,$A360)))</f>
        <v>0</v>
      </c>
      <c r="W360" s="101" t="str">
        <f t="shared" si="41"/>
        <v>Filled</v>
      </c>
    </row>
    <row r="361" spans="1:23" x14ac:dyDescent="0.25">
      <c r="A361" s="76" t="s">
        <v>789</v>
      </c>
      <c r="B361" s="76" t="s">
        <v>361</v>
      </c>
      <c r="C361" s="76" t="s">
        <v>769</v>
      </c>
      <c r="D361" s="97">
        <v>1</v>
      </c>
      <c r="E361" s="98" t="s">
        <v>325</v>
      </c>
      <c r="F361" s="78">
        <v>53500</v>
      </c>
      <c r="G361" s="97">
        <v>1</v>
      </c>
      <c r="H361" s="98" t="s">
        <v>399</v>
      </c>
      <c r="J361" s="99">
        <f>1+Assumptions!$B$11+INDEX(Assumptions!$B$12:$B$15,D361)*Assumptions!$B$16</f>
        <v>1.3</v>
      </c>
      <c r="K361" s="82">
        <f t="shared" si="35"/>
        <v>69550</v>
      </c>
      <c r="L361" s="100">
        <f>IF(E361="Yes",MAX(0,Assumptions!$B$8-G361+1),0)</f>
        <v>8</v>
      </c>
      <c r="M361" s="82">
        <f t="shared" si="36"/>
        <v>46366.666666666664</v>
      </c>
      <c r="N361" s="100">
        <f>MIN(1,SUMIFS(Roster!$N$5:$N$1504,Roster!$B$5:$B$1504,$A361))</f>
        <v>1</v>
      </c>
      <c r="O361" s="100">
        <f>SUMIFS(Roster!$L$5:$L$1504,Roster!$B$5:$B$1504,$A361)</f>
        <v>8</v>
      </c>
      <c r="P361" s="83">
        <f>SUMIFS(Roster!$M$5:$M$1504,Roster!$B$5:$B$1504,$A361)*J361</f>
        <v>47060</v>
      </c>
      <c r="Q361" s="83">
        <f>SUMIFS(Roster!$O$5:$O$1504,Roster!$B$5:$B$1504,$A361)*J361</f>
        <v>70590</v>
      </c>
      <c r="R361" s="82">
        <f t="shared" si="37"/>
        <v>70590</v>
      </c>
      <c r="S361" s="82">
        <f t="shared" si="38"/>
        <v>0</v>
      </c>
      <c r="T361" s="82">
        <f t="shared" si="39"/>
        <v>-693.33333333333576</v>
      </c>
      <c r="U361" s="82">
        <f t="shared" si="40"/>
        <v>0</v>
      </c>
      <c r="V361" s="83">
        <f>IF(COUNTIFS(Roster!$B$5:$B$1504,$A361,Roster!$G$5:$G$1504,"&gt;0")=0,0,SUMIFS(Roster!$H$5:$H$1504,Roster!$B$5:$B$1504,$A361,Roster!$G$5:$G$1504,_xlfn.MAXIFS(Roster!$G$5:$G$1504,Roster!$B$5:$B$1504,$A361)))</f>
        <v>0</v>
      </c>
      <c r="W361" s="101" t="str">
        <f t="shared" si="41"/>
        <v>Filled</v>
      </c>
    </row>
    <row r="362" spans="1:23" x14ac:dyDescent="0.25">
      <c r="A362" s="76" t="s">
        <v>790</v>
      </c>
      <c r="B362" s="76" t="s">
        <v>357</v>
      </c>
      <c r="C362" s="76" t="s">
        <v>791</v>
      </c>
      <c r="D362" s="97">
        <v>1</v>
      </c>
      <c r="E362" s="98" t="s">
        <v>325</v>
      </c>
      <c r="F362" s="78">
        <v>63500</v>
      </c>
      <c r="G362" s="97">
        <v>1</v>
      </c>
      <c r="H362" s="98" t="s">
        <v>399</v>
      </c>
      <c r="J362" s="99">
        <f>1+Assumptions!$B$11+INDEX(Assumptions!$B$12:$B$15,D362)*Assumptions!$B$16</f>
        <v>1.3</v>
      </c>
      <c r="K362" s="82">
        <f t="shared" si="35"/>
        <v>82550</v>
      </c>
      <c r="L362" s="100">
        <f>IF(E362="Yes",MAX(0,Assumptions!$B$8-G362+1),0)</f>
        <v>8</v>
      </c>
      <c r="M362" s="82">
        <f t="shared" si="36"/>
        <v>55033.333333333336</v>
      </c>
      <c r="N362" s="100">
        <f>MIN(1,SUMIFS(Roster!$N$5:$N$1504,Roster!$B$5:$B$1504,$A362))</f>
        <v>1</v>
      </c>
      <c r="O362" s="100">
        <f>SUMIFS(Roster!$L$5:$L$1504,Roster!$B$5:$B$1504,$A362)</f>
        <v>8</v>
      </c>
      <c r="P362" s="83">
        <f>SUMIFS(Roster!$M$5:$M$1504,Roster!$B$5:$B$1504,$A362)*J362</f>
        <v>54426.666666666664</v>
      </c>
      <c r="Q362" s="83">
        <f>SUMIFS(Roster!$O$5:$O$1504,Roster!$B$5:$B$1504,$A362)*J362</f>
        <v>81640</v>
      </c>
      <c r="R362" s="82">
        <f t="shared" si="37"/>
        <v>81640</v>
      </c>
      <c r="S362" s="82">
        <f t="shared" si="38"/>
        <v>0</v>
      </c>
      <c r="T362" s="82">
        <f t="shared" si="39"/>
        <v>606.66666666667152</v>
      </c>
      <c r="U362" s="82">
        <f t="shared" si="40"/>
        <v>0</v>
      </c>
      <c r="V362" s="83">
        <f>IF(COUNTIFS(Roster!$B$5:$B$1504,$A362,Roster!$G$5:$G$1504,"&gt;0")=0,0,SUMIFS(Roster!$H$5:$H$1504,Roster!$B$5:$B$1504,$A362,Roster!$G$5:$G$1504,_xlfn.MAXIFS(Roster!$G$5:$G$1504,Roster!$B$5:$B$1504,$A362)))</f>
        <v>0</v>
      </c>
      <c r="W362" s="101" t="str">
        <f t="shared" si="41"/>
        <v>Filled</v>
      </c>
    </row>
    <row r="363" spans="1:23" x14ac:dyDescent="0.25">
      <c r="A363" s="76" t="s">
        <v>792</v>
      </c>
      <c r="B363" s="76" t="s">
        <v>357</v>
      </c>
      <c r="C363" s="76" t="s">
        <v>791</v>
      </c>
      <c r="D363" s="97">
        <v>1</v>
      </c>
      <c r="E363" s="98" t="s">
        <v>325</v>
      </c>
      <c r="F363" s="78">
        <v>57000</v>
      </c>
      <c r="G363" s="97">
        <v>1</v>
      </c>
      <c r="H363" s="98" t="s">
        <v>399</v>
      </c>
      <c r="J363" s="99">
        <f>1+Assumptions!$B$11+INDEX(Assumptions!$B$12:$B$15,D363)*Assumptions!$B$16</f>
        <v>1.3</v>
      </c>
      <c r="K363" s="82">
        <f t="shared" si="35"/>
        <v>74100</v>
      </c>
      <c r="L363" s="100">
        <f>IF(E363="Yes",MAX(0,Assumptions!$B$8-G363+1),0)</f>
        <v>8</v>
      </c>
      <c r="M363" s="82">
        <f t="shared" si="36"/>
        <v>49400</v>
      </c>
      <c r="N363" s="100">
        <f>MIN(1,SUMIFS(Roster!$N$5:$N$1504,Roster!$B$5:$B$1504,$A363))</f>
        <v>1</v>
      </c>
      <c r="O363" s="100">
        <f>SUMIFS(Roster!$L$5:$L$1504,Roster!$B$5:$B$1504,$A363)</f>
        <v>8</v>
      </c>
      <c r="P363" s="83">
        <f>SUMIFS(Roster!$M$5:$M$1504,Roster!$B$5:$B$1504,$A363)*J363</f>
        <v>48880</v>
      </c>
      <c r="Q363" s="83">
        <f>SUMIFS(Roster!$O$5:$O$1504,Roster!$B$5:$B$1504,$A363)*J363</f>
        <v>73320</v>
      </c>
      <c r="R363" s="82">
        <f t="shared" si="37"/>
        <v>73320</v>
      </c>
      <c r="S363" s="82">
        <f t="shared" si="38"/>
        <v>0</v>
      </c>
      <c r="T363" s="82">
        <f t="shared" si="39"/>
        <v>520</v>
      </c>
      <c r="U363" s="82">
        <f t="shared" si="40"/>
        <v>0</v>
      </c>
      <c r="V363" s="83">
        <f>IF(COUNTIFS(Roster!$B$5:$B$1504,$A363,Roster!$G$5:$G$1504,"&gt;0")=0,0,SUMIFS(Roster!$H$5:$H$1504,Roster!$B$5:$B$1504,$A363,Roster!$G$5:$G$1504,_xlfn.MAXIFS(Roster!$G$5:$G$1504,Roster!$B$5:$B$1504,$A363)))</f>
        <v>0</v>
      </c>
      <c r="W363" s="101" t="str">
        <f t="shared" si="41"/>
        <v>Filled</v>
      </c>
    </row>
    <row r="364" spans="1:23" x14ac:dyDescent="0.25">
      <c r="A364" s="76" t="s">
        <v>793</v>
      </c>
      <c r="B364" s="76" t="s">
        <v>357</v>
      </c>
      <c r="C364" s="76" t="s">
        <v>791</v>
      </c>
      <c r="D364" s="97">
        <v>1</v>
      </c>
      <c r="E364" s="98" t="s">
        <v>325</v>
      </c>
      <c r="F364" s="78">
        <v>68000</v>
      </c>
      <c r="G364" s="97">
        <v>1</v>
      </c>
      <c r="H364" s="98" t="s">
        <v>399</v>
      </c>
      <c r="J364" s="99">
        <f>1+Assumptions!$B$11+INDEX(Assumptions!$B$12:$B$15,D364)*Assumptions!$B$16</f>
        <v>1.3</v>
      </c>
      <c r="K364" s="82">
        <f t="shared" si="35"/>
        <v>88400</v>
      </c>
      <c r="L364" s="100">
        <f>IF(E364="Yes",MAX(0,Assumptions!$B$8-G364+1),0)</f>
        <v>8</v>
      </c>
      <c r="M364" s="82">
        <f t="shared" si="36"/>
        <v>58933.333333333336</v>
      </c>
      <c r="N364" s="100">
        <f>MIN(1,SUMIFS(Roster!$N$5:$N$1504,Roster!$B$5:$B$1504,$A364))</f>
        <v>1</v>
      </c>
      <c r="O364" s="100">
        <f>SUMIFS(Roster!$L$5:$L$1504,Roster!$B$5:$B$1504,$A364)</f>
        <v>8</v>
      </c>
      <c r="P364" s="83">
        <f>SUMIFS(Roster!$M$5:$M$1504,Roster!$B$5:$B$1504,$A364)*J364</f>
        <v>58586.666666666664</v>
      </c>
      <c r="Q364" s="83">
        <f>SUMIFS(Roster!$O$5:$O$1504,Roster!$B$5:$B$1504,$A364)*J364</f>
        <v>87880</v>
      </c>
      <c r="R364" s="82">
        <f t="shared" si="37"/>
        <v>87880</v>
      </c>
      <c r="S364" s="82">
        <f t="shared" si="38"/>
        <v>0</v>
      </c>
      <c r="T364" s="82">
        <f t="shared" si="39"/>
        <v>346.66666666667152</v>
      </c>
      <c r="U364" s="82">
        <f t="shared" si="40"/>
        <v>0</v>
      </c>
      <c r="V364" s="83">
        <f>IF(COUNTIFS(Roster!$B$5:$B$1504,$A364,Roster!$G$5:$G$1504,"&gt;0")=0,0,SUMIFS(Roster!$H$5:$H$1504,Roster!$B$5:$B$1504,$A364,Roster!$G$5:$G$1504,_xlfn.MAXIFS(Roster!$G$5:$G$1504,Roster!$B$5:$B$1504,$A364)))</f>
        <v>0</v>
      </c>
      <c r="W364" s="101" t="str">
        <f t="shared" si="41"/>
        <v>Filled</v>
      </c>
    </row>
    <row r="365" spans="1:23" x14ac:dyDescent="0.25">
      <c r="A365" s="76" t="s">
        <v>794</v>
      </c>
      <c r="B365" s="76" t="s">
        <v>357</v>
      </c>
      <c r="C365" s="76" t="s">
        <v>795</v>
      </c>
      <c r="D365" s="97">
        <v>2</v>
      </c>
      <c r="E365" s="98" t="s">
        <v>325</v>
      </c>
      <c r="F365" s="78">
        <v>95000</v>
      </c>
      <c r="G365" s="97">
        <v>1</v>
      </c>
      <c r="H365" s="98" t="s">
        <v>399</v>
      </c>
      <c r="J365" s="99">
        <f>1+Assumptions!$B$11+INDEX(Assumptions!$B$12:$B$15,D365)*Assumptions!$B$16</f>
        <v>1.35</v>
      </c>
      <c r="K365" s="82">
        <f t="shared" si="35"/>
        <v>128250.00000000001</v>
      </c>
      <c r="L365" s="100">
        <f>IF(E365="Yes",MAX(0,Assumptions!$B$8-G365+1),0)</f>
        <v>8</v>
      </c>
      <c r="M365" s="82">
        <f t="shared" si="36"/>
        <v>85500.000000000015</v>
      </c>
      <c r="N365" s="100">
        <f>MIN(1,SUMIFS(Roster!$N$5:$N$1504,Roster!$B$5:$B$1504,$A365))</f>
        <v>1</v>
      </c>
      <c r="O365" s="100">
        <f>SUMIFS(Roster!$L$5:$L$1504,Roster!$B$5:$B$1504,$A365)</f>
        <v>8</v>
      </c>
      <c r="P365" s="83">
        <f>SUMIFS(Roster!$M$5:$M$1504,Roster!$B$5:$B$1504,$A365)*J365</f>
        <v>86760</v>
      </c>
      <c r="Q365" s="83">
        <f>SUMIFS(Roster!$O$5:$O$1504,Roster!$B$5:$B$1504,$A365)*J365</f>
        <v>130140.00000000001</v>
      </c>
      <c r="R365" s="82">
        <f t="shared" si="37"/>
        <v>130140.00000000001</v>
      </c>
      <c r="S365" s="82">
        <f t="shared" si="38"/>
        <v>0</v>
      </c>
      <c r="T365" s="82">
        <f t="shared" si="39"/>
        <v>-1259.9999999999854</v>
      </c>
      <c r="U365" s="82">
        <f t="shared" si="40"/>
        <v>0</v>
      </c>
      <c r="V365" s="83">
        <f>IF(COUNTIFS(Roster!$B$5:$B$1504,$A365,Roster!$G$5:$G$1504,"&gt;0")=0,0,SUMIFS(Roster!$H$5:$H$1504,Roster!$B$5:$B$1504,$A365,Roster!$G$5:$G$1504,_xlfn.MAXIFS(Roster!$G$5:$G$1504,Roster!$B$5:$B$1504,$A365)))</f>
        <v>0</v>
      </c>
      <c r="W365" s="101" t="str">
        <f t="shared" si="41"/>
        <v>Filled</v>
      </c>
    </row>
    <row r="366" spans="1:23" x14ac:dyDescent="0.25">
      <c r="A366" s="76" t="s">
        <v>796</v>
      </c>
      <c r="B366" s="76" t="s">
        <v>357</v>
      </c>
      <c r="C366" s="76" t="s">
        <v>791</v>
      </c>
      <c r="D366" s="97">
        <v>1</v>
      </c>
      <c r="E366" s="98" t="s">
        <v>325</v>
      </c>
      <c r="F366" s="78">
        <v>61500</v>
      </c>
      <c r="G366" s="97">
        <v>1</v>
      </c>
      <c r="H366" s="98" t="s">
        <v>399</v>
      </c>
      <c r="J366" s="99">
        <f>1+Assumptions!$B$11+INDEX(Assumptions!$B$12:$B$15,D366)*Assumptions!$B$16</f>
        <v>1.3</v>
      </c>
      <c r="K366" s="82">
        <f t="shared" si="35"/>
        <v>79950</v>
      </c>
      <c r="L366" s="100">
        <f>IF(E366="Yes",MAX(0,Assumptions!$B$8-G366+1),0)</f>
        <v>8</v>
      </c>
      <c r="M366" s="82">
        <f t="shared" si="36"/>
        <v>53300</v>
      </c>
      <c r="N366" s="100">
        <f>MIN(1,SUMIFS(Roster!$N$5:$N$1504,Roster!$B$5:$B$1504,$A366))</f>
        <v>1</v>
      </c>
      <c r="O366" s="100">
        <f>SUMIFS(Roster!$L$5:$L$1504,Roster!$B$5:$B$1504,$A366)</f>
        <v>8</v>
      </c>
      <c r="P366" s="83">
        <f>SUMIFS(Roster!$M$5:$M$1504,Roster!$B$5:$B$1504,$A366)*J366</f>
        <v>53560</v>
      </c>
      <c r="Q366" s="83">
        <f>SUMIFS(Roster!$O$5:$O$1504,Roster!$B$5:$B$1504,$A366)*J366</f>
        <v>80340</v>
      </c>
      <c r="R366" s="82">
        <f t="shared" si="37"/>
        <v>80340</v>
      </c>
      <c r="S366" s="82">
        <f t="shared" si="38"/>
        <v>0</v>
      </c>
      <c r="T366" s="82">
        <f t="shared" si="39"/>
        <v>-260</v>
      </c>
      <c r="U366" s="82">
        <f t="shared" si="40"/>
        <v>0</v>
      </c>
      <c r="V366" s="83">
        <f>IF(COUNTIFS(Roster!$B$5:$B$1504,$A366,Roster!$G$5:$G$1504,"&gt;0")=0,0,SUMIFS(Roster!$H$5:$H$1504,Roster!$B$5:$B$1504,$A366,Roster!$G$5:$G$1504,_xlfn.MAXIFS(Roster!$G$5:$G$1504,Roster!$B$5:$B$1504,$A366)))</f>
        <v>0</v>
      </c>
      <c r="W366" s="101" t="str">
        <f t="shared" si="41"/>
        <v>Filled</v>
      </c>
    </row>
    <row r="367" spans="1:23" x14ac:dyDescent="0.25">
      <c r="A367" s="76" t="s">
        <v>797</v>
      </c>
      <c r="B367" s="76" t="s">
        <v>357</v>
      </c>
      <c r="C367" s="76" t="s">
        <v>795</v>
      </c>
      <c r="D367" s="97">
        <v>2</v>
      </c>
      <c r="E367" s="98" t="s">
        <v>325</v>
      </c>
      <c r="F367" s="78">
        <v>86000</v>
      </c>
      <c r="G367" s="97">
        <v>1</v>
      </c>
      <c r="H367" s="98" t="s">
        <v>399</v>
      </c>
      <c r="J367" s="99">
        <f>1+Assumptions!$B$11+INDEX(Assumptions!$B$12:$B$15,D367)*Assumptions!$B$16</f>
        <v>1.35</v>
      </c>
      <c r="K367" s="82">
        <f t="shared" si="35"/>
        <v>116100.00000000001</v>
      </c>
      <c r="L367" s="100">
        <f>IF(E367="Yes",MAX(0,Assumptions!$B$8-G367+1),0)</f>
        <v>8</v>
      </c>
      <c r="M367" s="82">
        <f t="shared" si="36"/>
        <v>77400.000000000015</v>
      </c>
      <c r="N367" s="100">
        <f>MIN(1,SUMIFS(Roster!$N$5:$N$1504,Roster!$B$5:$B$1504,$A367))</f>
        <v>1</v>
      </c>
      <c r="O367" s="100">
        <f>SUMIFS(Roster!$L$5:$L$1504,Roster!$B$5:$B$1504,$A367)</f>
        <v>8</v>
      </c>
      <c r="P367" s="83">
        <f>SUMIFS(Roster!$M$5:$M$1504,Roster!$B$5:$B$1504,$A367)*J367</f>
        <v>78480.000000000015</v>
      </c>
      <c r="Q367" s="83">
        <f>SUMIFS(Roster!$O$5:$O$1504,Roster!$B$5:$B$1504,$A367)*J367</f>
        <v>117720.00000000001</v>
      </c>
      <c r="R367" s="82">
        <f t="shared" si="37"/>
        <v>117720.00000000001</v>
      </c>
      <c r="S367" s="82">
        <f t="shared" si="38"/>
        <v>0</v>
      </c>
      <c r="T367" s="82">
        <f t="shared" si="39"/>
        <v>-1080</v>
      </c>
      <c r="U367" s="82">
        <f t="shared" si="40"/>
        <v>0</v>
      </c>
      <c r="V367" s="83">
        <f>IF(COUNTIFS(Roster!$B$5:$B$1504,$A367,Roster!$G$5:$G$1504,"&gt;0")=0,0,SUMIFS(Roster!$H$5:$H$1504,Roster!$B$5:$B$1504,$A367,Roster!$G$5:$G$1504,_xlfn.MAXIFS(Roster!$G$5:$G$1504,Roster!$B$5:$B$1504,$A367)))</f>
        <v>0</v>
      </c>
      <c r="W367" s="101" t="str">
        <f t="shared" si="41"/>
        <v>Filled</v>
      </c>
    </row>
    <row r="368" spans="1:23" x14ac:dyDescent="0.25">
      <c r="A368" s="76" t="s">
        <v>798</v>
      </c>
      <c r="B368" s="76" t="s">
        <v>357</v>
      </c>
      <c r="C368" s="76" t="s">
        <v>799</v>
      </c>
      <c r="D368" s="97">
        <v>3</v>
      </c>
      <c r="E368" s="98" t="s">
        <v>325</v>
      </c>
      <c r="F368" s="78">
        <v>127000</v>
      </c>
      <c r="G368" s="97">
        <v>1</v>
      </c>
      <c r="H368" s="98" t="s">
        <v>399</v>
      </c>
      <c r="J368" s="99">
        <f>1+Assumptions!$B$11+INDEX(Assumptions!$B$12:$B$15,D368)*Assumptions!$B$16</f>
        <v>1.4</v>
      </c>
      <c r="K368" s="82">
        <f t="shared" si="35"/>
        <v>177800</v>
      </c>
      <c r="L368" s="100">
        <f>IF(E368="Yes",MAX(0,Assumptions!$B$8-G368+1),0)</f>
        <v>8</v>
      </c>
      <c r="M368" s="82">
        <f t="shared" si="36"/>
        <v>118533.33333333333</v>
      </c>
      <c r="N368" s="100">
        <f>MIN(1,SUMIFS(Roster!$N$5:$N$1504,Roster!$B$5:$B$1504,$A368))</f>
        <v>1</v>
      </c>
      <c r="O368" s="100">
        <f>SUMIFS(Roster!$L$5:$L$1504,Roster!$B$5:$B$1504,$A368)</f>
        <v>8</v>
      </c>
      <c r="P368" s="83">
        <f>SUMIFS(Roster!$M$5:$M$1504,Roster!$B$5:$B$1504,$A368)*J368</f>
        <v>118813.33333333333</v>
      </c>
      <c r="Q368" s="83">
        <f>SUMIFS(Roster!$O$5:$O$1504,Roster!$B$5:$B$1504,$A368)*J368</f>
        <v>178220</v>
      </c>
      <c r="R368" s="82">
        <f t="shared" si="37"/>
        <v>178220</v>
      </c>
      <c r="S368" s="82">
        <f t="shared" si="38"/>
        <v>0</v>
      </c>
      <c r="T368" s="82">
        <f t="shared" si="39"/>
        <v>-280</v>
      </c>
      <c r="U368" s="82">
        <f t="shared" si="40"/>
        <v>0</v>
      </c>
      <c r="V368" s="83">
        <f>IF(COUNTIFS(Roster!$B$5:$B$1504,$A368,Roster!$G$5:$G$1504,"&gt;0")=0,0,SUMIFS(Roster!$H$5:$H$1504,Roster!$B$5:$B$1504,$A368,Roster!$G$5:$G$1504,_xlfn.MAXIFS(Roster!$G$5:$G$1504,Roster!$B$5:$B$1504,$A368)))</f>
        <v>0</v>
      </c>
      <c r="W368" s="101" t="str">
        <f t="shared" si="41"/>
        <v>Filled</v>
      </c>
    </row>
    <row r="369" spans="1:23" x14ac:dyDescent="0.25">
      <c r="A369" s="76" t="s">
        <v>800</v>
      </c>
      <c r="B369" s="76" t="s">
        <v>357</v>
      </c>
      <c r="C369" s="76" t="s">
        <v>795</v>
      </c>
      <c r="D369" s="97">
        <v>2</v>
      </c>
      <c r="E369" s="98" t="s">
        <v>325</v>
      </c>
      <c r="F369" s="78">
        <v>95000</v>
      </c>
      <c r="G369" s="97">
        <v>1</v>
      </c>
      <c r="H369" s="98" t="s">
        <v>399</v>
      </c>
      <c r="J369" s="99">
        <f>1+Assumptions!$B$11+INDEX(Assumptions!$B$12:$B$15,D369)*Assumptions!$B$16</f>
        <v>1.35</v>
      </c>
      <c r="K369" s="82">
        <f t="shared" si="35"/>
        <v>128250.00000000001</v>
      </c>
      <c r="L369" s="100">
        <f>IF(E369="Yes",MAX(0,Assumptions!$B$8-G369+1),0)</f>
        <v>8</v>
      </c>
      <c r="M369" s="82">
        <f t="shared" si="36"/>
        <v>85500.000000000015</v>
      </c>
      <c r="N369" s="100">
        <f>MIN(1,SUMIFS(Roster!$N$5:$N$1504,Roster!$B$5:$B$1504,$A369))</f>
        <v>1</v>
      </c>
      <c r="O369" s="100">
        <f>SUMIFS(Roster!$L$5:$L$1504,Roster!$B$5:$B$1504,$A369)</f>
        <v>8</v>
      </c>
      <c r="P369" s="83">
        <f>SUMIFS(Roster!$M$5:$M$1504,Roster!$B$5:$B$1504,$A369)*J369</f>
        <v>85950</v>
      </c>
      <c r="Q369" s="83">
        <f>SUMIFS(Roster!$O$5:$O$1504,Roster!$B$5:$B$1504,$A369)*J369</f>
        <v>128925.00000000001</v>
      </c>
      <c r="R369" s="82">
        <f t="shared" si="37"/>
        <v>128925.00000000001</v>
      </c>
      <c r="S369" s="82">
        <f t="shared" si="38"/>
        <v>0</v>
      </c>
      <c r="T369" s="82">
        <f t="shared" si="39"/>
        <v>-449.99999999998545</v>
      </c>
      <c r="U369" s="82">
        <f t="shared" si="40"/>
        <v>0</v>
      </c>
      <c r="V369" s="83">
        <f>IF(COUNTIFS(Roster!$B$5:$B$1504,$A369,Roster!$G$5:$G$1504,"&gt;0")=0,0,SUMIFS(Roster!$H$5:$H$1504,Roster!$B$5:$B$1504,$A369,Roster!$G$5:$G$1504,_xlfn.MAXIFS(Roster!$G$5:$G$1504,Roster!$B$5:$B$1504,$A369)))</f>
        <v>0</v>
      </c>
      <c r="W369" s="101" t="str">
        <f t="shared" si="41"/>
        <v>Filled</v>
      </c>
    </row>
    <row r="370" spans="1:23" x14ac:dyDescent="0.25">
      <c r="A370" s="76" t="s">
        <v>801</v>
      </c>
      <c r="B370" s="76" t="s">
        <v>357</v>
      </c>
      <c r="C370" s="76" t="s">
        <v>795</v>
      </c>
      <c r="D370" s="97">
        <v>2</v>
      </c>
      <c r="E370" s="98" t="s">
        <v>325</v>
      </c>
      <c r="F370" s="78">
        <v>88000</v>
      </c>
      <c r="G370" s="97">
        <v>1</v>
      </c>
      <c r="H370" s="98" t="s">
        <v>399</v>
      </c>
      <c r="J370" s="99">
        <f>1+Assumptions!$B$11+INDEX(Assumptions!$B$12:$B$15,D370)*Assumptions!$B$16</f>
        <v>1.35</v>
      </c>
      <c r="K370" s="82">
        <f t="shared" si="35"/>
        <v>118800.00000000001</v>
      </c>
      <c r="L370" s="100">
        <f>IF(E370="Yes",MAX(0,Assumptions!$B$8-G370+1),0)</f>
        <v>8</v>
      </c>
      <c r="M370" s="82">
        <f t="shared" si="36"/>
        <v>79200.000000000015</v>
      </c>
      <c r="N370" s="100">
        <f>MIN(1,SUMIFS(Roster!$N$5:$N$1504,Roster!$B$5:$B$1504,$A370))</f>
        <v>1</v>
      </c>
      <c r="O370" s="100">
        <f>SUMIFS(Roster!$L$5:$L$1504,Roster!$B$5:$B$1504,$A370)</f>
        <v>8</v>
      </c>
      <c r="P370" s="83">
        <f>SUMIFS(Roster!$M$5:$M$1504,Roster!$B$5:$B$1504,$A370)*J370</f>
        <v>78120</v>
      </c>
      <c r="Q370" s="83">
        <f>SUMIFS(Roster!$O$5:$O$1504,Roster!$B$5:$B$1504,$A370)*J370</f>
        <v>117180.00000000001</v>
      </c>
      <c r="R370" s="82">
        <f t="shared" si="37"/>
        <v>117180.00000000001</v>
      </c>
      <c r="S370" s="82">
        <f t="shared" si="38"/>
        <v>0</v>
      </c>
      <c r="T370" s="82">
        <f t="shared" si="39"/>
        <v>1080.0000000000146</v>
      </c>
      <c r="U370" s="82">
        <f t="shared" si="40"/>
        <v>0</v>
      </c>
      <c r="V370" s="83">
        <f>IF(COUNTIFS(Roster!$B$5:$B$1504,$A370,Roster!$G$5:$G$1504,"&gt;0")=0,0,SUMIFS(Roster!$H$5:$H$1504,Roster!$B$5:$B$1504,$A370,Roster!$G$5:$G$1504,_xlfn.MAXIFS(Roster!$G$5:$G$1504,Roster!$B$5:$B$1504,$A370)))</f>
        <v>0</v>
      </c>
      <c r="W370" s="101" t="str">
        <f t="shared" si="41"/>
        <v>Filled</v>
      </c>
    </row>
    <row r="371" spans="1:23" x14ac:dyDescent="0.25">
      <c r="A371" s="76" t="s">
        <v>802</v>
      </c>
      <c r="B371" s="76" t="s">
        <v>357</v>
      </c>
      <c r="C371" s="76" t="s">
        <v>795</v>
      </c>
      <c r="D371" s="97">
        <v>2</v>
      </c>
      <c r="E371" s="98" t="s">
        <v>325</v>
      </c>
      <c r="F371" s="78">
        <v>82000</v>
      </c>
      <c r="G371" s="97">
        <v>1</v>
      </c>
      <c r="H371" s="98" t="s">
        <v>399</v>
      </c>
      <c r="J371" s="99">
        <f>1+Assumptions!$B$11+INDEX(Assumptions!$B$12:$B$15,D371)*Assumptions!$B$16</f>
        <v>1.35</v>
      </c>
      <c r="K371" s="82">
        <f t="shared" si="35"/>
        <v>110700.00000000001</v>
      </c>
      <c r="L371" s="100">
        <f>IF(E371="Yes",MAX(0,Assumptions!$B$8-G371+1),0)</f>
        <v>8</v>
      </c>
      <c r="M371" s="82">
        <f t="shared" si="36"/>
        <v>73800.000000000015</v>
      </c>
      <c r="N371" s="100">
        <f>MIN(1,SUMIFS(Roster!$N$5:$N$1504,Roster!$B$5:$B$1504,$A371))</f>
        <v>1</v>
      </c>
      <c r="O371" s="100">
        <f>SUMIFS(Roster!$L$5:$L$1504,Roster!$B$5:$B$1504,$A371)</f>
        <v>8</v>
      </c>
      <c r="P371" s="83">
        <f>SUMIFS(Roster!$M$5:$M$1504,Roster!$B$5:$B$1504,$A371)*J371</f>
        <v>74070</v>
      </c>
      <c r="Q371" s="83">
        <f>SUMIFS(Roster!$O$5:$O$1504,Roster!$B$5:$B$1504,$A371)*J371</f>
        <v>111105.00000000001</v>
      </c>
      <c r="R371" s="82">
        <f t="shared" si="37"/>
        <v>111105.00000000001</v>
      </c>
      <c r="S371" s="82">
        <f t="shared" si="38"/>
        <v>0</v>
      </c>
      <c r="T371" s="82">
        <f t="shared" si="39"/>
        <v>-269.99999999998545</v>
      </c>
      <c r="U371" s="82">
        <f t="shared" si="40"/>
        <v>0</v>
      </c>
      <c r="V371" s="83">
        <f>IF(COUNTIFS(Roster!$B$5:$B$1504,$A371,Roster!$G$5:$G$1504,"&gt;0")=0,0,SUMIFS(Roster!$H$5:$H$1504,Roster!$B$5:$B$1504,$A371,Roster!$G$5:$G$1504,_xlfn.MAXIFS(Roster!$G$5:$G$1504,Roster!$B$5:$B$1504,$A371)))</f>
        <v>0</v>
      </c>
      <c r="W371" s="101" t="str">
        <f t="shared" si="41"/>
        <v>Filled</v>
      </c>
    </row>
    <row r="372" spans="1:23" x14ac:dyDescent="0.25">
      <c r="A372" s="76" t="s">
        <v>803</v>
      </c>
      <c r="B372" s="76" t="s">
        <v>357</v>
      </c>
      <c r="C372" s="76" t="s">
        <v>795</v>
      </c>
      <c r="D372" s="97">
        <v>2</v>
      </c>
      <c r="E372" s="98" t="s">
        <v>325</v>
      </c>
      <c r="F372" s="78">
        <v>95500</v>
      </c>
      <c r="G372" s="97">
        <v>1</v>
      </c>
      <c r="H372" s="98" t="s">
        <v>399</v>
      </c>
      <c r="J372" s="99">
        <f>1+Assumptions!$B$11+INDEX(Assumptions!$B$12:$B$15,D372)*Assumptions!$B$16</f>
        <v>1.35</v>
      </c>
      <c r="K372" s="82">
        <f t="shared" si="35"/>
        <v>128925.00000000001</v>
      </c>
      <c r="L372" s="100">
        <f>IF(E372="Yes",MAX(0,Assumptions!$B$8-G372+1),0)</f>
        <v>8</v>
      </c>
      <c r="M372" s="82">
        <f t="shared" si="36"/>
        <v>85950.000000000015</v>
      </c>
      <c r="N372" s="100">
        <f>MIN(1,SUMIFS(Roster!$N$5:$N$1504,Roster!$B$5:$B$1504,$A372))</f>
        <v>1</v>
      </c>
      <c r="O372" s="100">
        <f>SUMIFS(Roster!$L$5:$L$1504,Roster!$B$5:$B$1504,$A372)</f>
        <v>8</v>
      </c>
      <c r="P372" s="83">
        <f>SUMIFS(Roster!$M$5:$M$1504,Roster!$B$5:$B$1504,$A372)*J372</f>
        <v>85860</v>
      </c>
      <c r="Q372" s="83">
        <f>SUMIFS(Roster!$O$5:$O$1504,Roster!$B$5:$B$1504,$A372)*J372</f>
        <v>128790.00000000001</v>
      </c>
      <c r="R372" s="82">
        <f t="shared" si="37"/>
        <v>128790.00000000001</v>
      </c>
      <c r="S372" s="82">
        <f t="shared" si="38"/>
        <v>0</v>
      </c>
      <c r="T372" s="82">
        <f t="shared" si="39"/>
        <v>90.000000000014552</v>
      </c>
      <c r="U372" s="82">
        <f t="shared" si="40"/>
        <v>0</v>
      </c>
      <c r="V372" s="83">
        <f>IF(COUNTIFS(Roster!$B$5:$B$1504,$A372,Roster!$G$5:$G$1504,"&gt;0")=0,0,SUMIFS(Roster!$H$5:$H$1504,Roster!$B$5:$B$1504,$A372,Roster!$G$5:$G$1504,_xlfn.MAXIFS(Roster!$G$5:$G$1504,Roster!$B$5:$B$1504,$A372)))</f>
        <v>0</v>
      </c>
      <c r="W372" s="101" t="str">
        <f t="shared" si="41"/>
        <v>Filled</v>
      </c>
    </row>
    <row r="373" spans="1:23" x14ac:dyDescent="0.25">
      <c r="A373" s="76" t="s">
        <v>804</v>
      </c>
      <c r="B373" s="76" t="s">
        <v>357</v>
      </c>
      <c r="C373" s="76" t="s">
        <v>791</v>
      </c>
      <c r="D373" s="97">
        <v>1</v>
      </c>
      <c r="E373" s="98" t="s">
        <v>325</v>
      </c>
      <c r="F373" s="78">
        <v>61000</v>
      </c>
      <c r="G373" s="97">
        <v>1</v>
      </c>
      <c r="H373" s="98" t="s">
        <v>399</v>
      </c>
      <c r="J373" s="99">
        <f>1+Assumptions!$B$11+INDEX(Assumptions!$B$12:$B$15,D373)*Assumptions!$B$16</f>
        <v>1.3</v>
      </c>
      <c r="K373" s="82">
        <f t="shared" si="35"/>
        <v>79300</v>
      </c>
      <c r="L373" s="100">
        <f>IF(E373="Yes",MAX(0,Assumptions!$B$8-G373+1),0)</f>
        <v>8</v>
      </c>
      <c r="M373" s="82">
        <f t="shared" si="36"/>
        <v>52866.666666666664</v>
      </c>
      <c r="N373" s="100">
        <f>MIN(1,SUMIFS(Roster!$N$5:$N$1504,Roster!$B$5:$B$1504,$A373))</f>
        <v>1</v>
      </c>
      <c r="O373" s="100">
        <f>SUMIFS(Roster!$L$5:$L$1504,Roster!$B$5:$B$1504,$A373)</f>
        <v>6</v>
      </c>
      <c r="P373" s="83">
        <f>SUMIFS(Roster!$M$5:$M$1504,Roster!$B$5:$B$1504,$A373)*J373</f>
        <v>40852.5</v>
      </c>
      <c r="Q373" s="83">
        <f>SUMIFS(Roster!$O$5:$O$1504,Roster!$B$5:$B$1504,$A373)*J373</f>
        <v>84500</v>
      </c>
      <c r="R373" s="82">
        <f t="shared" si="37"/>
        <v>84500</v>
      </c>
      <c r="S373" s="82">
        <f t="shared" si="38"/>
        <v>13216.666666666666</v>
      </c>
      <c r="T373" s="82">
        <f t="shared" si="39"/>
        <v>-1202.5</v>
      </c>
      <c r="U373" s="82">
        <f t="shared" si="40"/>
        <v>0</v>
      </c>
      <c r="V373" s="83">
        <f>IF(COUNTIFS(Roster!$B$5:$B$1504,$A373,Roster!$G$5:$G$1504,"&gt;0")=0,0,SUMIFS(Roster!$H$5:$H$1504,Roster!$B$5:$B$1504,$A373,Roster!$G$5:$G$1504,_xlfn.MAXIFS(Roster!$G$5:$G$1504,Roster!$B$5:$B$1504,$A373)))</f>
        <v>60700</v>
      </c>
      <c r="W373" s="101" t="str">
        <f t="shared" si="41"/>
        <v>Filled</v>
      </c>
    </row>
    <row r="374" spans="1:23" x14ac:dyDescent="0.25">
      <c r="A374" s="76" t="s">
        <v>805</v>
      </c>
      <c r="B374" s="76" t="s">
        <v>357</v>
      </c>
      <c r="C374" s="76" t="s">
        <v>791</v>
      </c>
      <c r="D374" s="97">
        <v>1</v>
      </c>
      <c r="E374" s="98" t="s">
        <v>325</v>
      </c>
      <c r="F374" s="78">
        <v>63000</v>
      </c>
      <c r="G374" s="97">
        <v>1</v>
      </c>
      <c r="H374" s="98" t="s">
        <v>399</v>
      </c>
      <c r="J374" s="99">
        <f>1+Assumptions!$B$11+INDEX(Assumptions!$B$12:$B$15,D374)*Assumptions!$B$16</f>
        <v>1.3</v>
      </c>
      <c r="K374" s="82">
        <f t="shared" si="35"/>
        <v>81900</v>
      </c>
      <c r="L374" s="100">
        <f>IF(E374="Yes",MAX(0,Assumptions!$B$8-G374+1),0)</f>
        <v>8</v>
      </c>
      <c r="M374" s="82">
        <f t="shared" si="36"/>
        <v>54600</v>
      </c>
      <c r="N374" s="100">
        <f>MIN(1,SUMIFS(Roster!$N$5:$N$1504,Roster!$B$5:$B$1504,$A374))</f>
        <v>1</v>
      </c>
      <c r="O374" s="100">
        <f>SUMIFS(Roster!$L$5:$L$1504,Roster!$B$5:$B$1504,$A374)</f>
        <v>8</v>
      </c>
      <c r="P374" s="83">
        <f>SUMIFS(Roster!$M$5:$M$1504,Roster!$B$5:$B$1504,$A374)*J374</f>
        <v>54686.666666666664</v>
      </c>
      <c r="Q374" s="83">
        <f>SUMIFS(Roster!$O$5:$O$1504,Roster!$B$5:$B$1504,$A374)*J374</f>
        <v>82030</v>
      </c>
      <c r="R374" s="82">
        <f t="shared" si="37"/>
        <v>82030</v>
      </c>
      <c r="S374" s="82">
        <f t="shared" si="38"/>
        <v>0</v>
      </c>
      <c r="T374" s="82">
        <f t="shared" si="39"/>
        <v>-86.666666666664241</v>
      </c>
      <c r="U374" s="82">
        <f t="shared" si="40"/>
        <v>0</v>
      </c>
      <c r="V374" s="83">
        <f>IF(COUNTIFS(Roster!$B$5:$B$1504,$A374,Roster!$G$5:$G$1504,"&gt;0")=0,0,SUMIFS(Roster!$H$5:$H$1504,Roster!$B$5:$B$1504,$A374,Roster!$G$5:$G$1504,_xlfn.MAXIFS(Roster!$G$5:$G$1504,Roster!$B$5:$B$1504,$A374)))</f>
        <v>0</v>
      </c>
      <c r="W374" s="101" t="str">
        <f t="shared" si="41"/>
        <v>Filled</v>
      </c>
    </row>
    <row r="375" spans="1:23" x14ac:dyDescent="0.25">
      <c r="A375" s="76" t="s">
        <v>806</v>
      </c>
      <c r="B375" s="76" t="s">
        <v>357</v>
      </c>
      <c r="C375" s="76" t="s">
        <v>795</v>
      </c>
      <c r="D375" s="97">
        <v>2</v>
      </c>
      <c r="E375" s="98" t="s">
        <v>325</v>
      </c>
      <c r="F375" s="78">
        <v>72500</v>
      </c>
      <c r="G375" s="97">
        <v>1</v>
      </c>
      <c r="H375" s="98" t="s">
        <v>399</v>
      </c>
      <c r="J375" s="99">
        <f>1+Assumptions!$B$11+INDEX(Assumptions!$B$12:$B$15,D375)*Assumptions!$B$16</f>
        <v>1.35</v>
      </c>
      <c r="K375" s="82">
        <f t="shared" si="35"/>
        <v>97875</v>
      </c>
      <c r="L375" s="100">
        <f>IF(E375="Yes",MAX(0,Assumptions!$B$8-G375+1),0)</f>
        <v>8</v>
      </c>
      <c r="M375" s="82">
        <f t="shared" si="36"/>
        <v>65250</v>
      </c>
      <c r="N375" s="100">
        <f>MIN(1,SUMIFS(Roster!$N$5:$N$1504,Roster!$B$5:$B$1504,$A375))</f>
        <v>1</v>
      </c>
      <c r="O375" s="100">
        <f>SUMIFS(Roster!$L$5:$L$1504,Roster!$B$5:$B$1504,$A375)</f>
        <v>8</v>
      </c>
      <c r="P375" s="83">
        <f>SUMIFS(Roster!$M$5:$M$1504,Roster!$B$5:$B$1504,$A375)*J375</f>
        <v>64530.000000000007</v>
      </c>
      <c r="Q375" s="83">
        <f>SUMIFS(Roster!$O$5:$O$1504,Roster!$B$5:$B$1504,$A375)*J375</f>
        <v>96795</v>
      </c>
      <c r="R375" s="82">
        <f t="shared" si="37"/>
        <v>96795</v>
      </c>
      <c r="S375" s="82">
        <f t="shared" si="38"/>
        <v>0</v>
      </c>
      <c r="T375" s="82">
        <f t="shared" si="39"/>
        <v>719.99999999999272</v>
      </c>
      <c r="U375" s="82">
        <f t="shared" si="40"/>
        <v>0</v>
      </c>
      <c r="V375" s="83">
        <f>IF(COUNTIFS(Roster!$B$5:$B$1504,$A375,Roster!$G$5:$G$1504,"&gt;0")=0,0,SUMIFS(Roster!$H$5:$H$1504,Roster!$B$5:$B$1504,$A375,Roster!$G$5:$G$1504,_xlfn.MAXIFS(Roster!$G$5:$G$1504,Roster!$B$5:$B$1504,$A375)))</f>
        <v>0</v>
      </c>
      <c r="W375" s="101" t="str">
        <f t="shared" si="41"/>
        <v>Filled</v>
      </c>
    </row>
    <row r="376" spans="1:23" x14ac:dyDescent="0.25">
      <c r="A376" s="76" t="s">
        <v>807</v>
      </c>
      <c r="B376" s="76" t="s">
        <v>357</v>
      </c>
      <c r="C376" s="76" t="s">
        <v>791</v>
      </c>
      <c r="D376" s="97">
        <v>1</v>
      </c>
      <c r="E376" s="98" t="s">
        <v>325</v>
      </c>
      <c r="F376" s="78">
        <v>67000</v>
      </c>
      <c r="G376" s="97">
        <v>1</v>
      </c>
      <c r="H376" s="98" t="s">
        <v>399</v>
      </c>
      <c r="J376" s="99">
        <f>1+Assumptions!$B$11+INDEX(Assumptions!$B$12:$B$15,D376)*Assumptions!$B$16</f>
        <v>1.3</v>
      </c>
      <c r="K376" s="82">
        <f t="shared" si="35"/>
        <v>87100</v>
      </c>
      <c r="L376" s="100">
        <f>IF(E376="Yes",MAX(0,Assumptions!$B$8-G376+1),0)</f>
        <v>8</v>
      </c>
      <c r="M376" s="82">
        <f t="shared" si="36"/>
        <v>58066.666666666664</v>
      </c>
      <c r="N376" s="100">
        <f>MIN(1,SUMIFS(Roster!$N$5:$N$1504,Roster!$B$5:$B$1504,$A376))</f>
        <v>1</v>
      </c>
      <c r="O376" s="100">
        <f>SUMIFS(Roster!$L$5:$L$1504,Roster!$B$5:$B$1504,$A376)</f>
        <v>8</v>
      </c>
      <c r="P376" s="83">
        <f>SUMIFS(Roster!$M$5:$M$1504,Roster!$B$5:$B$1504,$A376)*J376</f>
        <v>58066.666666666664</v>
      </c>
      <c r="Q376" s="83">
        <f>SUMIFS(Roster!$O$5:$O$1504,Roster!$B$5:$B$1504,$A376)*J376</f>
        <v>87100</v>
      </c>
      <c r="R376" s="82">
        <f t="shared" si="37"/>
        <v>87100</v>
      </c>
      <c r="S376" s="82">
        <f t="shared" si="38"/>
        <v>0</v>
      </c>
      <c r="T376" s="82">
        <f t="shared" si="39"/>
        <v>0</v>
      </c>
      <c r="U376" s="82">
        <f t="shared" si="40"/>
        <v>0</v>
      </c>
      <c r="V376" s="83">
        <f>IF(COUNTIFS(Roster!$B$5:$B$1504,$A376,Roster!$G$5:$G$1504,"&gt;0")=0,0,SUMIFS(Roster!$H$5:$H$1504,Roster!$B$5:$B$1504,$A376,Roster!$G$5:$G$1504,_xlfn.MAXIFS(Roster!$G$5:$G$1504,Roster!$B$5:$B$1504,$A376)))</f>
        <v>0</v>
      </c>
      <c r="W376" s="101" t="str">
        <f t="shared" si="41"/>
        <v>Filled</v>
      </c>
    </row>
    <row r="377" spans="1:23" x14ac:dyDescent="0.25">
      <c r="A377" s="76" t="s">
        <v>808</v>
      </c>
      <c r="B377" s="76" t="s">
        <v>357</v>
      </c>
      <c r="C377" s="76" t="s">
        <v>799</v>
      </c>
      <c r="D377" s="97">
        <v>3</v>
      </c>
      <c r="E377" s="98" t="s">
        <v>325</v>
      </c>
      <c r="F377" s="78">
        <v>111000</v>
      </c>
      <c r="G377" s="97">
        <v>1</v>
      </c>
      <c r="H377" s="98" t="s">
        <v>399</v>
      </c>
      <c r="J377" s="99">
        <f>1+Assumptions!$B$11+INDEX(Assumptions!$B$12:$B$15,D377)*Assumptions!$B$16</f>
        <v>1.4</v>
      </c>
      <c r="K377" s="82">
        <f t="shared" si="35"/>
        <v>155400</v>
      </c>
      <c r="L377" s="100">
        <f>IF(E377="Yes",MAX(0,Assumptions!$B$8-G377+1),0)</f>
        <v>8</v>
      </c>
      <c r="M377" s="82">
        <f t="shared" si="36"/>
        <v>103600</v>
      </c>
      <c r="N377" s="100">
        <f>MIN(1,SUMIFS(Roster!$N$5:$N$1504,Roster!$B$5:$B$1504,$A377))</f>
        <v>1</v>
      </c>
      <c r="O377" s="100">
        <f>SUMIFS(Roster!$L$5:$L$1504,Roster!$B$5:$B$1504,$A377)</f>
        <v>8</v>
      </c>
      <c r="P377" s="83">
        <f>SUMIFS(Roster!$M$5:$M$1504,Roster!$B$5:$B$1504,$A377)*J377</f>
        <v>104253.33333333333</v>
      </c>
      <c r="Q377" s="83">
        <f>SUMIFS(Roster!$O$5:$O$1504,Roster!$B$5:$B$1504,$A377)*J377</f>
        <v>156380</v>
      </c>
      <c r="R377" s="82">
        <f t="shared" si="37"/>
        <v>156380</v>
      </c>
      <c r="S377" s="82">
        <f t="shared" si="38"/>
        <v>0</v>
      </c>
      <c r="T377" s="82">
        <f t="shared" si="39"/>
        <v>-653.33333333332848</v>
      </c>
      <c r="U377" s="82">
        <f t="shared" si="40"/>
        <v>0</v>
      </c>
      <c r="V377" s="83">
        <f>IF(COUNTIFS(Roster!$B$5:$B$1504,$A377,Roster!$G$5:$G$1504,"&gt;0")=0,0,SUMIFS(Roster!$H$5:$H$1504,Roster!$B$5:$B$1504,$A377,Roster!$G$5:$G$1504,_xlfn.MAXIFS(Roster!$G$5:$G$1504,Roster!$B$5:$B$1504,$A377)))</f>
        <v>0</v>
      </c>
      <c r="W377" s="101" t="str">
        <f t="shared" si="41"/>
        <v>Filled</v>
      </c>
    </row>
    <row r="378" spans="1:23" x14ac:dyDescent="0.25">
      <c r="A378" s="76" t="s">
        <v>809</v>
      </c>
      <c r="B378" s="76" t="s">
        <v>357</v>
      </c>
      <c r="C378" s="76" t="s">
        <v>791</v>
      </c>
      <c r="D378" s="97">
        <v>1</v>
      </c>
      <c r="E378" s="98" t="s">
        <v>325</v>
      </c>
      <c r="F378" s="78">
        <v>57000</v>
      </c>
      <c r="G378" s="97">
        <v>1</v>
      </c>
      <c r="H378" s="98" t="s">
        <v>399</v>
      </c>
      <c r="J378" s="99">
        <f>1+Assumptions!$B$11+INDEX(Assumptions!$B$12:$B$15,D378)*Assumptions!$B$16</f>
        <v>1.3</v>
      </c>
      <c r="K378" s="82">
        <f t="shared" si="35"/>
        <v>74100</v>
      </c>
      <c r="L378" s="100">
        <f>IF(E378="Yes",MAX(0,Assumptions!$B$8-G378+1),0)</f>
        <v>8</v>
      </c>
      <c r="M378" s="82">
        <f t="shared" si="36"/>
        <v>49400</v>
      </c>
      <c r="N378" s="100">
        <f>MIN(1,SUMIFS(Roster!$N$5:$N$1504,Roster!$B$5:$B$1504,$A378))</f>
        <v>1</v>
      </c>
      <c r="O378" s="100">
        <f>SUMIFS(Roster!$L$5:$L$1504,Roster!$B$5:$B$1504,$A378)</f>
        <v>8</v>
      </c>
      <c r="P378" s="83">
        <f>SUMIFS(Roster!$M$5:$M$1504,Roster!$B$5:$B$1504,$A378)*J378</f>
        <v>49660</v>
      </c>
      <c r="Q378" s="83">
        <f>SUMIFS(Roster!$O$5:$O$1504,Roster!$B$5:$B$1504,$A378)*J378</f>
        <v>74490</v>
      </c>
      <c r="R378" s="82">
        <f t="shared" si="37"/>
        <v>74490</v>
      </c>
      <c r="S378" s="82">
        <f t="shared" si="38"/>
        <v>0</v>
      </c>
      <c r="T378" s="82">
        <f t="shared" si="39"/>
        <v>-260</v>
      </c>
      <c r="U378" s="82">
        <f t="shared" si="40"/>
        <v>0</v>
      </c>
      <c r="V378" s="83">
        <f>IF(COUNTIFS(Roster!$B$5:$B$1504,$A378,Roster!$G$5:$G$1504,"&gt;0")=0,0,SUMIFS(Roster!$H$5:$H$1504,Roster!$B$5:$B$1504,$A378,Roster!$G$5:$G$1504,_xlfn.MAXIFS(Roster!$G$5:$G$1504,Roster!$B$5:$B$1504,$A378)))</f>
        <v>0</v>
      </c>
      <c r="W378" s="101" t="str">
        <f t="shared" si="41"/>
        <v>Filled</v>
      </c>
    </row>
    <row r="379" spans="1:23" x14ac:dyDescent="0.25">
      <c r="A379" s="76" t="s">
        <v>810</v>
      </c>
      <c r="B379" s="76" t="s">
        <v>357</v>
      </c>
      <c r="C379" s="76" t="s">
        <v>791</v>
      </c>
      <c r="D379" s="97">
        <v>1</v>
      </c>
      <c r="E379" s="98" t="s">
        <v>325</v>
      </c>
      <c r="F379" s="78">
        <v>67000</v>
      </c>
      <c r="G379" s="97">
        <v>1</v>
      </c>
      <c r="H379" s="98" t="s">
        <v>399</v>
      </c>
      <c r="J379" s="99">
        <f>1+Assumptions!$B$11+INDEX(Assumptions!$B$12:$B$15,D379)*Assumptions!$B$16</f>
        <v>1.3</v>
      </c>
      <c r="K379" s="82">
        <f t="shared" si="35"/>
        <v>87100</v>
      </c>
      <c r="L379" s="100">
        <f>IF(E379="Yes",MAX(0,Assumptions!$B$8-G379+1),0)</f>
        <v>8</v>
      </c>
      <c r="M379" s="82">
        <f t="shared" si="36"/>
        <v>58066.666666666664</v>
      </c>
      <c r="N379" s="100">
        <f>MIN(1,SUMIFS(Roster!$N$5:$N$1504,Roster!$B$5:$B$1504,$A379))</f>
        <v>1</v>
      </c>
      <c r="O379" s="100">
        <f>SUMIFS(Roster!$L$5:$L$1504,Roster!$B$5:$B$1504,$A379)</f>
        <v>8</v>
      </c>
      <c r="P379" s="83">
        <f>SUMIFS(Roster!$M$5:$M$1504,Roster!$B$5:$B$1504,$A379)*J379</f>
        <v>58153.333333333336</v>
      </c>
      <c r="Q379" s="83">
        <f>SUMIFS(Roster!$O$5:$O$1504,Roster!$B$5:$B$1504,$A379)*J379</f>
        <v>87230</v>
      </c>
      <c r="R379" s="82">
        <f t="shared" si="37"/>
        <v>87230</v>
      </c>
      <c r="S379" s="82">
        <f t="shared" si="38"/>
        <v>0</v>
      </c>
      <c r="T379" s="82">
        <f t="shared" si="39"/>
        <v>-86.666666666671517</v>
      </c>
      <c r="U379" s="82">
        <f t="shared" si="40"/>
        <v>0</v>
      </c>
      <c r="V379" s="83">
        <f>IF(COUNTIFS(Roster!$B$5:$B$1504,$A379,Roster!$G$5:$G$1504,"&gt;0")=0,0,SUMIFS(Roster!$H$5:$H$1504,Roster!$B$5:$B$1504,$A379,Roster!$G$5:$G$1504,_xlfn.MAXIFS(Roster!$G$5:$G$1504,Roster!$B$5:$B$1504,$A379)))</f>
        <v>0</v>
      </c>
      <c r="W379" s="101" t="str">
        <f t="shared" si="41"/>
        <v>Filled</v>
      </c>
    </row>
    <row r="380" spans="1:23" x14ac:dyDescent="0.25">
      <c r="A380" s="76" t="s">
        <v>811</v>
      </c>
      <c r="B380" s="76" t="s">
        <v>357</v>
      </c>
      <c r="C380" s="76" t="s">
        <v>795</v>
      </c>
      <c r="D380" s="97">
        <v>2</v>
      </c>
      <c r="E380" s="98" t="s">
        <v>325</v>
      </c>
      <c r="F380" s="78">
        <v>83500</v>
      </c>
      <c r="G380" s="97">
        <v>1</v>
      </c>
      <c r="H380" s="98" t="s">
        <v>399</v>
      </c>
      <c r="J380" s="99">
        <f>1+Assumptions!$B$11+INDEX(Assumptions!$B$12:$B$15,D380)*Assumptions!$B$16</f>
        <v>1.35</v>
      </c>
      <c r="K380" s="82">
        <f t="shared" si="35"/>
        <v>112725.00000000001</v>
      </c>
      <c r="L380" s="100">
        <f>IF(E380="Yes",MAX(0,Assumptions!$B$8-G380+1),0)</f>
        <v>8</v>
      </c>
      <c r="M380" s="82">
        <f t="shared" si="36"/>
        <v>75150.000000000015</v>
      </c>
      <c r="N380" s="100">
        <f>MIN(1,SUMIFS(Roster!$N$5:$N$1504,Roster!$B$5:$B$1504,$A380))</f>
        <v>1</v>
      </c>
      <c r="O380" s="100">
        <f>SUMIFS(Roster!$L$5:$L$1504,Roster!$B$5:$B$1504,$A380)</f>
        <v>8</v>
      </c>
      <c r="P380" s="83">
        <f>SUMIFS(Roster!$M$5:$M$1504,Roster!$B$5:$B$1504,$A380)*J380</f>
        <v>74250</v>
      </c>
      <c r="Q380" s="83">
        <f>SUMIFS(Roster!$O$5:$O$1504,Roster!$B$5:$B$1504,$A380)*J380</f>
        <v>111375.00000000001</v>
      </c>
      <c r="R380" s="82">
        <f t="shared" si="37"/>
        <v>111375.00000000001</v>
      </c>
      <c r="S380" s="82">
        <f t="shared" si="38"/>
        <v>0</v>
      </c>
      <c r="T380" s="82">
        <f t="shared" si="39"/>
        <v>900.00000000001455</v>
      </c>
      <c r="U380" s="82">
        <f t="shared" si="40"/>
        <v>0</v>
      </c>
      <c r="V380" s="83">
        <f>IF(COUNTIFS(Roster!$B$5:$B$1504,$A380,Roster!$G$5:$G$1504,"&gt;0")=0,0,SUMIFS(Roster!$H$5:$H$1504,Roster!$B$5:$B$1504,$A380,Roster!$G$5:$G$1504,_xlfn.MAXIFS(Roster!$G$5:$G$1504,Roster!$B$5:$B$1504,$A380)))</f>
        <v>0</v>
      </c>
      <c r="W380" s="101" t="str">
        <f t="shared" si="41"/>
        <v>Filled</v>
      </c>
    </row>
    <row r="381" spans="1:23" x14ac:dyDescent="0.25">
      <c r="A381" s="76" t="s">
        <v>812</v>
      </c>
      <c r="B381" s="76" t="s">
        <v>357</v>
      </c>
      <c r="C381" s="76" t="s">
        <v>791</v>
      </c>
      <c r="D381" s="97">
        <v>1</v>
      </c>
      <c r="E381" s="98" t="s">
        <v>325</v>
      </c>
      <c r="F381" s="78">
        <v>54000</v>
      </c>
      <c r="G381" s="97">
        <v>1</v>
      </c>
      <c r="H381" s="98" t="s">
        <v>399</v>
      </c>
      <c r="J381" s="99">
        <f>1+Assumptions!$B$11+INDEX(Assumptions!$B$12:$B$15,D381)*Assumptions!$B$16</f>
        <v>1.3</v>
      </c>
      <c r="K381" s="82">
        <f t="shared" si="35"/>
        <v>70200</v>
      </c>
      <c r="L381" s="100">
        <f>IF(E381="Yes",MAX(0,Assumptions!$B$8-G381+1),0)</f>
        <v>8</v>
      </c>
      <c r="M381" s="82">
        <f t="shared" si="36"/>
        <v>46800</v>
      </c>
      <c r="N381" s="100">
        <f>MIN(1,SUMIFS(Roster!$N$5:$N$1504,Roster!$B$5:$B$1504,$A381))</f>
        <v>1</v>
      </c>
      <c r="O381" s="100">
        <f>SUMIFS(Roster!$L$5:$L$1504,Roster!$B$5:$B$1504,$A381)</f>
        <v>8</v>
      </c>
      <c r="P381" s="83">
        <f>SUMIFS(Roster!$M$5:$M$1504,Roster!$B$5:$B$1504,$A381)*J381</f>
        <v>46106.666666666664</v>
      </c>
      <c r="Q381" s="83">
        <f>SUMIFS(Roster!$O$5:$O$1504,Roster!$B$5:$B$1504,$A381)*J381</f>
        <v>69160</v>
      </c>
      <c r="R381" s="82">
        <f t="shared" si="37"/>
        <v>69160</v>
      </c>
      <c r="S381" s="82">
        <f t="shared" si="38"/>
        <v>0</v>
      </c>
      <c r="T381" s="82">
        <f t="shared" si="39"/>
        <v>693.33333333333576</v>
      </c>
      <c r="U381" s="82">
        <f t="shared" si="40"/>
        <v>0</v>
      </c>
      <c r="V381" s="83">
        <f>IF(COUNTIFS(Roster!$B$5:$B$1504,$A381,Roster!$G$5:$G$1504,"&gt;0")=0,0,SUMIFS(Roster!$H$5:$H$1504,Roster!$B$5:$B$1504,$A381,Roster!$G$5:$G$1504,_xlfn.MAXIFS(Roster!$G$5:$G$1504,Roster!$B$5:$B$1504,$A381)))</f>
        <v>0</v>
      </c>
      <c r="W381" s="101" t="str">
        <f t="shared" si="41"/>
        <v>Filled</v>
      </c>
    </row>
    <row r="382" spans="1:23" x14ac:dyDescent="0.25">
      <c r="A382" s="76" t="s">
        <v>813</v>
      </c>
      <c r="B382" s="76" t="s">
        <v>357</v>
      </c>
      <c r="C382" s="76" t="s">
        <v>791</v>
      </c>
      <c r="D382" s="97">
        <v>1</v>
      </c>
      <c r="E382" s="98" t="s">
        <v>325</v>
      </c>
      <c r="F382" s="78">
        <v>61500</v>
      </c>
      <c r="G382" s="97">
        <v>1</v>
      </c>
      <c r="H382" s="98" t="s">
        <v>399</v>
      </c>
      <c r="J382" s="99">
        <f>1+Assumptions!$B$11+INDEX(Assumptions!$B$12:$B$15,D382)*Assumptions!$B$16</f>
        <v>1.3</v>
      </c>
      <c r="K382" s="82">
        <f t="shared" si="35"/>
        <v>79950</v>
      </c>
      <c r="L382" s="100">
        <f>IF(E382="Yes",MAX(0,Assumptions!$B$8-G382+1),0)</f>
        <v>8</v>
      </c>
      <c r="M382" s="82">
        <f t="shared" si="36"/>
        <v>53300</v>
      </c>
      <c r="N382" s="100">
        <f>MIN(1,SUMIFS(Roster!$N$5:$N$1504,Roster!$B$5:$B$1504,$A382))</f>
        <v>1</v>
      </c>
      <c r="O382" s="100">
        <f>SUMIFS(Roster!$L$5:$L$1504,Roster!$B$5:$B$1504,$A382)</f>
        <v>8</v>
      </c>
      <c r="P382" s="83">
        <f>SUMIFS(Roster!$M$5:$M$1504,Roster!$B$5:$B$1504,$A382)*J382</f>
        <v>53126.666666666664</v>
      </c>
      <c r="Q382" s="83">
        <f>SUMIFS(Roster!$O$5:$O$1504,Roster!$B$5:$B$1504,$A382)*J382</f>
        <v>79690</v>
      </c>
      <c r="R382" s="82">
        <f t="shared" si="37"/>
        <v>79690</v>
      </c>
      <c r="S382" s="82">
        <f t="shared" si="38"/>
        <v>0</v>
      </c>
      <c r="T382" s="82">
        <f t="shared" si="39"/>
        <v>173.33333333333576</v>
      </c>
      <c r="U382" s="82">
        <f t="shared" si="40"/>
        <v>0</v>
      </c>
      <c r="V382" s="83">
        <f>IF(COUNTIFS(Roster!$B$5:$B$1504,$A382,Roster!$G$5:$G$1504,"&gt;0")=0,0,SUMIFS(Roster!$H$5:$H$1504,Roster!$B$5:$B$1504,$A382,Roster!$G$5:$G$1504,_xlfn.MAXIFS(Roster!$G$5:$G$1504,Roster!$B$5:$B$1504,$A382)))</f>
        <v>0</v>
      </c>
      <c r="W382" s="101" t="str">
        <f t="shared" si="41"/>
        <v>Filled</v>
      </c>
    </row>
    <row r="383" spans="1:23" x14ac:dyDescent="0.25">
      <c r="A383" s="76" t="s">
        <v>814</v>
      </c>
      <c r="B383" s="76" t="s">
        <v>357</v>
      </c>
      <c r="C383" s="76" t="s">
        <v>791</v>
      </c>
      <c r="D383" s="97">
        <v>1</v>
      </c>
      <c r="E383" s="98" t="s">
        <v>325</v>
      </c>
      <c r="F383" s="78">
        <v>59000</v>
      </c>
      <c r="G383" s="97">
        <v>1</v>
      </c>
      <c r="H383" s="98" t="s">
        <v>399</v>
      </c>
      <c r="J383" s="99">
        <f>1+Assumptions!$B$11+INDEX(Assumptions!$B$12:$B$15,D383)*Assumptions!$B$16</f>
        <v>1.3</v>
      </c>
      <c r="K383" s="82">
        <f t="shared" si="35"/>
        <v>76700</v>
      </c>
      <c r="L383" s="100">
        <f>IF(E383="Yes",MAX(0,Assumptions!$B$8-G383+1),0)</f>
        <v>8</v>
      </c>
      <c r="M383" s="82">
        <f t="shared" si="36"/>
        <v>51133.333333333336</v>
      </c>
      <c r="N383" s="100">
        <f>MIN(1,SUMIFS(Roster!$N$5:$N$1504,Roster!$B$5:$B$1504,$A383))</f>
        <v>1</v>
      </c>
      <c r="O383" s="100">
        <f>SUMIFS(Roster!$L$5:$L$1504,Roster!$B$5:$B$1504,$A383)</f>
        <v>8</v>
      </c>
      <c r="P383" s="83">
        <f>SUMIFS(Roster!$M$5:$M$1504,Roster!$B$5:$B$1504,$A383)*J383</f>
        <v>50526.666666666664</v>
      </c>
      <c r="Q383" s="83">
        <f>SUMIFS(Roster!$O$5:$O$1504,Roster!$B$5:$B$1504,$A383)*J383</f>
        <v>75790</v>
      </c>
      <c r="R383" s="82">
        <f t="shared" si="37"/>
        <v>75790</v>
      </c>
      <c r="S383" s="82">
        <f t="shared" si="38"/>
        <v>0</v>
      </c>
      <c r="T383" s="82">
        <f t="shared" si="39"/>
        <v>606.66666666667152</v>
      </c>
      <c r="U383" s="82">
        <f t="shared" si="40"/>
        <v>0</v>
      </c>
      <c r="V383" s="83">
        <f>IF(COUNTIFS(Roster!$B$5:$B$1504,$A383,Roster!$G$5:$G$1504,"&gt;0")=0,0,SUMIFS(Roster!$H$5:$H$1504,Roster!$B$5:$B$1504,$A383,Roster!$G$5:$G$1504,_xlfn.MAXIFS(Roster!$G$5:$G$1504,Roster!$B$5:$B$1504,$A383)))</f>
        <v>0</v>
      </c>
      <c r="W383" s="101" t="str">
        <f t="shared" si="41"/>
        <v>Filled</v>
      </c>
    </row>
    <row r="384" spans="1:23" x14ac:dyDescent="0.25">
      <c r="A384" s="76" t="s">
        <v>815</v>
      </c>
      <c r="B384" s="76" t="s">
        <v>357</v>
      </c>
      <c r="C384" s="76" t="s">
        <v>795</v>
      </c>
      <c r="D384" s="97">
        <v>2</v>
      </c>
      <c r="E384" s="98" t="s">
        <v>325</v>
      </c>
      <c r="F384" s="78">
        <v>96000</v>
      </c>
      <c r="G384" s="97">
        <v>1</v>
      </c>
      <c r="H384" s="98" t="s">
        <v>399</v>
      </c>
      <c r="J384" s="99">
        <f>1+Assumptions!$B$11+INDEX(Assumptions!$B$12:$B$15,D384)*Assumptions!$B$16</f>
        <v>1.35</v>
      </c>
      <c r="K384" s="82">
        <f t="shared" si="35"/>
        <v>129600.00000000001</v>
      </c>
      <c r="L384" s="100">
        <f>IF(E384="Yes",MAX(0,Assumptions!$B$8-G384+1),0)</f>
        <v>8</v>
      </c>
      <c r="M384" s="82">
        <f t="shared" si="36"/>
        <v>86400.000000000015</v>
      </c>
      <c r="N384" s="100">
        <f>MIN(1,SUMIFS(Roster!$N$5:$N$1504,Roster!$B$5:$B$1504,$A384))</f>
        <v>1</v>
      </c>
      <c r="O384" s="100">
        <f>SUMIFS(Roster!$L$5:$L$1504,Roster!$B$5:$B$1504,$A384)</f>
        <v>8</v>
      </c>
      <c r="P384" s="83">
        <f>SUMIFS(Roster!$M$5:$M$1504,Roster!$B$5:$B$1504,$A384)*J384</f>
        <v>86040.000000000015</v>
      </c>
      <c r="Q384" s="83">
        <f>SUMIFS(Roster!$O$5:$O$1504,Roster!$B$5:$B$1504,$A384)*J384</f>
        <v>129060.00000000001</v>
      </c>
      <c r="R384" s="82">
        <f t="shared" si="37"/>
        <v>129060.00000000001</v>
      </c>
      <c r="S384" s="82">
        <f t="shared" si="38"/>
        <v>0</v>
      </c>
      <c r="T384" s="82">
        <f t="shared" si="39"/>
        <v>360</v>
      </c>
      <c r="U384" s="82">
        <f t="shared" si="40"/>
        <v>0</v>
      </c>
      <c r="V384" s="83">
        <f>IF(COUNTIFS(Roster!$B$5:$B$1504,$A384,Roster!$G$5:$G$1504,"&gt;0")=0,0,SUMIFS(Roster!$H$5:$H$1504,Roster!$B$5:$B$1504,$A384,Roster!$G$5:$G$1504,_xlfn.MAXIFS(Roster!$G$5:$G$1504,Roster!$B$5:$B$1504,$A384)))</f>
        <v>0</v>
      </c>
      <c r="W384" s="101" t="str">
        <f t="shared" si="41"/>
        <v>Filled</v>
      </c>
    </row>
    <row r="385" spans="1:23" x14ac:dyDescent="0.25">
      <c r="A385" s="76" t="s">
        <v>816</v>
      </c>
      <c r="B385" s="76" t="s">
        <v>357</v>
      </c>
      <c r="C385" s="76" t="s">
        <v>795</v>
      </c>
      <c r="D385" s="97">
        <v>2</v>
      </c>
      <c r="E385" s="98" t="s">
        <v>325</v>
      </c>
      <c r="F385" s="78">
        <v>97000</v>
      </c>
      <c r="G385" s="97">
        <v>1</v>
      </c>
      <c r="H385" s="98" t="s">
        <v>399</v>
      </c>
      <c r="J385" s="99">
        <f>1+Assumptions!$B$11+INDEX(Assumptions!$B$12:$B$15,D385)*Assumptions!$B$16</f>
        <v>1.35</v>
      </c>
      <c r="K385" s="82">
        <f t="shared" si="35"/>
        <v>130950.00000000001</v>
      </c>
      <c r="L385" s="100">
        <f>IF(E385="Yes",MAX(0,Assumptions!$B$8-G385+1),0)</f>
        <v>8</v>
      </c>
      <c r="M385" s="82">
        <f t="shared" si="36"/>
        <v>87300.000000000015</v>
      </c>
      <c r="N385" s="100">
        <f>MIN(1,SUMIFS(Roster!$N$5:$N$1504,Roster!$B$5:$B$1504,$A385))</f>
        <v>1</v>
      </c>
      <c r="O385" s="100">
        <f>SUMIFS(Roster!$L$5:$L$1504,Roster!$B$5:$B$1504,$A385)</f>
        <v>8</v>
      </c>
      <c r="P385" s="83">
        <f>SUMIFS(Roster!$M$5:$M$1504,Roster!$B$5:$B$1504,$A385)*J385</f>
        <v>86130</v>
      </c>
      <c r="Q385" s="83">
        <f>SUMIFS(Roster!$O$5:$O$1504,Roster!$B$5:$B$1504,$A385)*J385</f>
        <v>129195.00000000001</v>
      </c>
      <c r="R385" s="82">
        <f t="shared" si="37"/>
        <v>129195.00000000001</v>
      </c>
      <c r="S385" s="82">
        <f t="shared" si="38"/>
        <v>0</v>
      </c>
      <c r="T385" s="82">
        <f t="shared" si="39"/>
        <v>1170.0000000000146</v>
      </c>
      <c r="U385" s="82">
        <f t="shared" si="40"/>
        <v>0</v>
      </c>
      <c r="V385" s="83">
        <f>IF(COUNTIFS(Roster!$B$5:$B$1504,$A385,Roster!$G$5:$G$1504,"&gt;0")=0,0,SUMIFS(Roster!$H$5:$H$1504,Roster!$B$5:$B$1504,$A385,Roster!$G$5:$G$1504,_xlfn.MAXIFS(Roster!$G$5:$G$1504,Roster!$B$5:$B$1504,$A385)))</f>
        <v>0</v>
      </c>
      <c r="W385" s="101" t="str">
        <f t="shared" si="41"/>
        <v>Filled</v>
      </c>
    </row>
    <row r="386" spans="1:23" x14ac:dyDescent="0.25">
      <c r="A386" s="76" t="s">
        <v>817</v>
      </c>
      <c r="B386" s="76" t="s">
        <v>357</v>
      </c>
      <c r="C386" s="76" t="s">
        <v>791</v>
      </c>
      <c r="D386" s="97">
        <v>1</v>
      </c>
      <c r="E386" s="98" t="s">
        <v>325</v>
      </c>
      <c r="F386" s="78">
        <v>54000</v>
      </c>
      <c r="G386" s="97">
        <v>1</v>
      </c>
      <c r="H386" s="98" t="s">
        <v>399</v>
      </c>
      <c r="J386" s="99">
        <f>1+Assumptions!$B$11+INDEX(Assumptions!$B$12:$B$15,D386)*Assumptions!$B$16</f>
        <v>1.3</v>
      </c>
      <c r="K386" s="82">
        <f t="shared" si="35"/>
        <v>70200</v>
      </c>
      <c r="L386" s="100">
        <f>IF(E386="Yes",MAX(0,Assumptions!$B$8-G386+1),0)</f>
        <v>8</v>
      </c>
      <c r="M386" s="82">
        <f t="shared" si="36"/>
        <v>46800</v>
      </c>
      <c r="N386" s="100">
        <f>MIN(1,SUMIFS(Roster!$N$5:$N$1504,Roster!$B$5:$B$1504,$A386))</f>
        <v>1</v>
      </c>
      <c r="O386" s="100">
        <f>SUMIFS(Roster!$L$5:$L$1504,Roster!$B$5:$B$1504,$A386)</f>
        <v>8</v>
      </c>
      <c r="P386" s="83">
        <f>SUMIFS(Roster!$M$5:$M$1504,Roster!$B$5:$B$1504,$A386)*J386</f>
        <v>46800</v>
      </c>
      <c r="Q386" s="83">
        <f>SUMIFS(Roster!$O$5:$O$1504,Roster!$B$5:$B$1504,$A386)*J386</f>
        <v>70200</v>
      </c>
      <c r="R386" s="82">
        <f t="shared" si="37"/>
        <v>70200</v>
      </c>
      <c r="S386" s="82">
        <f t="shared" si="38"/>
        <v>0</v>
      </c>
      <c r="T386" s="82">
        <f t="shared" si="39"/>
        <v>0</v>
      </c>
      <c r="U386" s="82">
        <f t="shared" si="40"/>
        <v>0</v>
      </c>
      <c r="V386" s="83">
        <f>IF(COUNTIFS(Roster!$B$5:$B$1504,$A386,Roster!$G$5:$G$1504,"&gt;0")=0,0,SUMIFS(Roster!$H$5:$H$1504,Roster!$B$5:$B$1504,$A386,Roster!$G$5:$G$1504,_xlfn.MAXIFS(Roster!$G$5:$G$1504,Roster!$B$5:$B$1504,$A386)))</f>
        <v>0</v>
      </c>
      <c r="W386" s="101" t="str">
        <f t="shared" si="41"/>
        <v>Filled</v>
      </c>
    </row>
    <row r="387" spans="1:23" x14ac:dyDescent="0.25">
      <c r="A387" s="76" t="s">
        <v>818</v>
      </c>
      <c r="B387" s="76" t="s">
        <v>357</v>
      </c>
      <c r="C387" s="76" t="s">
        <v>791</v>
      </c>
      <c r="D387" s="97">
        <v>1</v>
      </c>
      <c r="E387" s="98" t="s">
        <v>325</v>
      </c>
      <c r="F387" s="78">
        <v>57000</v>
      </c>
      <c r="G387" s="97">
        <v>1</v>
      </c>
      <c r="H387" s="98" t="s">
        <v>399</v>
      </c>
      <c r="J387" s="99">
        <f>1+Assumptions!$B$11+INDEX(Assumptions!$B$12:$B$15,D387)*Assumptions!$B$16</f>
        <v>1.3</v>
      </c>
      <c r="K387" s="82">
        <f t="shared" si="35"/>
        <v>74100</v>
      </c>
      <c r="L387" s="100">
        <f>IF(E387="Yes",MAX(0,Assumptions!$B$8-G387+1),0)</f>
        <v>8</v>
      </c>
      <c r="M387" s="82">
        <f t="shared" si="36"/>
        <v>49400</v>
      </c>
      <c r="N387" s="100">
        <f>MIN(1,SUMIFS(Roster!$N$5:$N$1504,Roster!$B$5:$B$1504,$A387))</f>
        <v>1</v>
      </c>
      <c r="O387" s="100">
        <f>SUMIFS(Roster!$L$5:$L$1504,Roster!$B$5:$B$1504,$A387)</f>
        <v>8</v>
      </c>
      <c r="P387" s="83">
        <f>SUMIFS(Roster!$M$5:$M$1504,Roster!$B$5:$B$1504,$A387)*J387</f>
        <v>48793.333333333336</v>
      </c>
      <c r="Q387" s="83">
        <f>SUMIFS(Roster!$O$5:$O$1504,Roster!$B$5:$B$1504,$A387)*J387</f>
        <v>73190</v>
      </c>
      <c r="R387" s="82">
        <f t="shared" si="37"/>
        <v>73190</v>
      </c>
      <c r="S387" s="82">
        <f t="shared" si="38"/>
        <v>0</v>
      </c>
      <c r="T387" s="82">
        <f t="shared" si="39"/>
        <v>606.66666666666424</v>
      </c>
      <c r="U387" s="82">
        <f t="shared" si="40"/>
        <v>0</v>
      </c>
      <c r="V387" s="83">
        <f>IF(COUNTIFS(Roster!$B$5:$B$1504,$A387,Roster!$G$5:$G$1504,"&gt;0")=0,0,SUMIFS(Roster!$H$5:$H$1504,Roster!$B$5:$B$1504,$A387,Roster!$G$5:$G$1504,_xlfn.MAXIFS(Roster!$G$5:$G$1504,Roster!$B$5:$B$1504,$A387)))</f>
        <v>0</v>
      </c>
      <c r="W387" s="101" t="str">
        <f t="shared" si="41"/>
        <v>Filled</v>
      </c>
    </row>
    <row r="388" spans="1:23" x14ac:dyDescent="0.25">
      <c r="A388" s="76" t="s">
        <v>819</v>
      </c>
      <c r="B388" s="76" t="s">
        <v>357</v>
      </c>
      <c r="C388" s="76" t="s">
        <v>791</v>
      </c>
      <c r="D388" s="97">
        <v>1</v>
      </c>
      <c r="E388" s="98" t="s">
        <v>325</v>
      </c>
      <c r="F388" s="78">
        <v>65000</v>
      </c>
      <c r="G388" s="97">
        <v>1</v>
      </c>
      <c r="H388" s="98" t="s">
        <v>399</v>
      </c>
      <c r="J388" s="99">
        <f>1+Assumptions!$B$11+INDEX(Assumptions!$B$12:$B$15,D388)*Assumptions!$B$16</f>
        <v>1.3</v>
      </c>
      <c r="K388" s="82">
        <f t="shared" si="35"/>
        <v>84500</v>
      </c>
      <c r="L388" s="100">
        <f>IF(E388="Yes",MAX(0,Assumptions!$B$8-G388+1),0)</f>
        <v>8</v>
      </c>
      <c r="M388" s="82">
        <f t="shared" si="36"/>
        <v>56333.333333333336</v>
      </c>
      <c r="N388" s="100">
        <f>MIN(1,SUMIFS(Roster!$N$5:$N$1504,Roster!$B$5:$B$1504,$A388))</f>
        <v>1</v>
      </c>
      <c r="O388" s="100">
        <f>SUMIFS(Roster!$L$5:$L$1504,Roster!$B$5:$B$1504,$A388)</f>
        <v>8</v>
      </c>
      <c r="P388" s="83">
        <f>SUMIFS(Roster!$M$5:$M$1504,Roster!$B$5:$B$1504,$A388)*J388</f>
        <v>55466.666666666664</v>
      </c>
      <c r="Q388" s="83">
        <f>SUMIFS(Roster!$O$5:$O$1504,Roster!$B$5:$B$1504,$A388)*J388</f>
        <v>83200</v>
      </c>
      <c r="R388" s="82">
        <f t="shared" si="37"/>
        <v>83200</v>
      </c>
      <c r="S388" s="82">
        <f t="shared" si="38"/>
        <v>0</v>
      </c>
      <c r="T388" s="82">
        <f t="shared" si="39"/>
        <v>866.66666666667152</v>
      </c>
      <c r="U388" s="82">
        <f t="shared" si="40"/>
        <v>0</v>
      </c>
      <c r="V388" s="83">
        <f>IF(COUNTIFS(Roster!$B$5:$B$1504,$A388,Roster!$G$5:$G$1504,"&gt;0")=0,0,SUMIFS(Roster!$H$5:$H$1504,Roster!$B$5:$B$1504,$A388,Roster!$G$5:$G$1504,_xlfn.MAXIFS(Roster!$G$5:$G$1504,Roster!$B$5:$B$1504,$A388)))</f>
        <v>0</v>
      </c>
      <c r="W388" s="101" t="str">
        <f t="shared" si="41"/>
        <v>Filled</v>
      </c>
    </row>
    <row r="389" spans="1:23" x14ac:dyDescent="0.25">
      <c r="A389" s="76" t="s">
        <v>820</v>
      </c>
      <c r="B389" s="76" t="s">
        <v>357</v>
      </c>
      <c r="C389" s="76" t="s">
        <v>795</v>
      </c>
      <c r="D389" s="97">
        <v>2</v>
      </c>
      <c r="E389" s="98" t="s">
        <v>325</v>
      </c>
      <c r="F389" s="78">
        <v>92000</v>
      </c>
      <c r="G389" s="97">
        <v>1</v>
      </c>
      <c r="H389" s="98" t="s">
        <v>399</v>
      </c>
      <c r="J389" s="99">
        <f>1+Assumptions!$B$11+INDEX(Assumptions!$B$12:$B$15,D389)*Assumptions!$B$16</f>
        <v>1.35</v>
      </c>
      <c r="K389" s="82">
        <f t="shared" ref="K389:K452" si="42">IF(E389="Yes",F389*J389,0)</f>
        <v>124200.00000000001</v>
      </c>
      <c r="L389" s="100">
        <f>IF(E389="Yes",MAX(0,Assumptions!$B$8-G389+1),0)</f>
        <v>8</v>
      </c>
      <c r="M389" s="82">
        <f t="shared" ref="M389:M452" si="43">K389/12*L389</f>
        <v>82800.000000000015</v>
      </c>
      <c r="N389" s="100">
        <f>MIN(1,SUMIFS(Roster!$N$5:$N$1504,Roster!$B$5:$B$1504,$A389))</f>
        <v>1</v>
      </c>
      <c r="O389" s="100">
        <f>SUMIFS(Roster!$L$5:$L$1504,Roster!$B$5:$B$1504,$A389)</f>
        <v>8</v>
      </c>
      <c r="P389" s="83">
        <f>SUMIFS(Roster!$M$5:$M$1504,Roster!$B$5:$B$1504,$A389)*J389</f>
        <v>83250</v>
      </c>
      <c r="Q389" s="83">
        <f>SUMIFS(Roster!$O$5:$O$1504,Roster!$B$5:$B$1504,$A389)*J389</f>
        <v>124875.00000000001</v>
      </c>
      <c r="R389" s="82">
        <f t="shared" ref="R389:R452" si="44">IF(N389=1,Q389,IF(AND(E389="Yes",H389="Fill"),K389,0))</f>
        <v>124875.00000000001</v>
      </c>
      <c r="S389" s="82">
        <f t="shared" ref="S389:S452" si="45">(L389-O389)*K389/12</f>
        <v>0</v>
      </c>
      <c r="T389" s="82">
        <f t="shared" ref="T389:T452" si="46">IF(E389="Yes",O389*K389/12-P389,0)</f>
        <v>-449.99999999998545</v>
      </c>
      <c r="U389" s="82">
        <f t="shared" ref="U389:U452" si="47">IF(E389="No",-P389,0)</f>
        <v>0</v>
      </c>
      <c r="V389" s="83">
        <f>IF(COUNTIFS(Roster!$B$5:$B$1504,$A389,Roster!$G$5:$G$1504,"&gt;0")=0,0,SUMIFS(Roster!$H$5:$H$1504,Roster!$B$5:$B$1504,$A389,Roster!$G$5:$G$1504,_xlfn.MAXIFS(Roster!$G$5:$G$1504,Roster!$B$5:$B$1504,$A389)))</f>
        <v>0</v>
      </c>
      <c r="W389" s="101" t="str">
        <f t="shared" ref="W389:W452" si="48">IF(N389=1,IF(E389="Yes","Filled","Unbudgeted hire"),IF(E389="Yes",IF(H389="Hold","Open: on hold","Open: to fill"),"Unbudgeted (left)"))</f>
        <v>Filled</v>
      </c>
    </row>
    <row r="390" spans="1:23" x14ac:dyDescent="0.25">
      <c r="A390" s="76" t="s">
        <v>821</v>
      </c>
      <c r="B390" s="76" t="s">
        <v>357</v>
      </c>
      <c r="C390" s="76" t="s">
        <v>799</v>
      </c>
      <c r="D390" s="97">
        <v>3</v>
      </c>
      <c r="E390" s="98" t="s">
        <v>325</v>
      </c>
      <c r="F390" s="78">
        <v>122000</v>
      </c>
      <c r="G390" s="97">
        <v>1</v>
      </c>
      <c r="H390" s="98" t="s">
        <v>399</v>
      </c>
      <c r="J390" s="99">
        <f>1+Assumptions!$B$11+INDEX(Assumptions!$B$12:$B$15,D390)*Assumptions!$B$16</f>
        <v>1.4</v>
      </c>
      <c r="K390" s="82">
        <f t="shared" si="42"/>
        <v>170800</v>
      </c>
      <c r="L390" s="100">
        <f>IF(E390="Yes",MAX(0,Assumptions!$B$8-G390+1),0)</f>
        <v>8</v>
      </c>
      <c r="M390" s="82">
        <f t="shared" si="43"/>
        <v>113866.66666666667</v>
      </c>
      <c r="N390" s="100">
        <f>MIN(1,SUMIFS(Roster!$N$5:$N$1504,Roster!$B$5:$B$1504,$A390))</f>
        <v>1</v>
      </c>
      <c r="O390" s="100">
        <f>SUMIFS(Roster!$L$5:$L$1504,Roster!$B$5:$B$1504,$A390)</f>
        <v>8</v>
      </c>
      <c r="P390" s="83">
        <f>SUMIFS(Roster!$M$5:$M$1504,Roster!$B$5:$B$1504,$A390)*J390</f>
        <v>112840</v>
      </c>
      <c r="Q390" s="83">
        <f>SUMIFS(Roster!$O$5:$O$1504,Roster!$B$5:$B$1504,$A390)*J390</f>
        <v>169260</v>
      </c>
      <c r="R390" s="82">
        <f t="shared" si="44"/>
        <v>169260</v>
      </c>
      <c r="S390" s="82">
        <f t="shared" si="45"/>
        <v>0</v>
      </c>
      <c r="T390" s="82">
        <f t="shared" si="46"/>
        <v>1026.6666666666715</v>
      </c>
      <c r="U390" s="82">
        <f t="shared" si="47"/>
        <v>0</v>
      </c>
      <c r="V390" s="83">
        <f>IF(COUNTIFS(Roster!$B$5:$B$1504,$A390,Roster!$G$5:$G$1504,"&gt;0")=0,0,SUMIFS(Roster!$H$5:$H$1504,Roster!$B$5:$B$1504,$A390,Roster!$G$5:$G$1504,_xlfn.MAXIFS(Roster!$G$5:$G$1504,Roster!$B$5:$B$1504,$A390)))</f>
        <v>0</v>
      </c>
      <c r="W390" s="101" t="str">
        <f t="shared" si="48"/>
        <v>Filled</v>
      </c>
    </row>
    <row r="391" spans="1:23" x14ac:dyDescent="0.25">
      <c r="A391" s="76" t="s">
        <v>822</v>
      </c>
      <c r="B391" s="76" t="s">
        <v>357</v>
      </c>
      <c r="C391" s="76" t="s">
        <v>795</v>
      </c>
      <c r="D391" s="97">
        <v>2</v>
      </c>
      <c r="E391" s="98" t="s">
        <v>325</v>
      </c>
      <c r="F391" s="78">
        <v>87000</v>
      </c>
      <c r="G391" s="97">
        <v>1</v>
      </c>
      <c r="H391" s="98" t="s">
        <v>399</v>
      </c>
      <c r="J391" s="99">
        <f>1+Assumptions!$B$11+INDEX(Assumptions!$B$12:$B$15,D391)*Assumptions!$B$16</f>
        <v>1.35</v>
      </c>
      <c r="K391" s="82">
        <f t="shared" si="42"/>
        <v>117450.00000000001</v>
      </c>
      <c r="L391" s="100">
        <f>IF(E391="Yes",MAX(0,Assumptions!$B$8-G391+1),0)</f>
        <v>8</v>
      </c>
      <c r="M391" s="82">
        <f t="shared" si="43"/>
        <v>78300.000000000015</v>
      </c>
      <c r="N391" s="100">
        <f>MIN(1,SUMIFS(Roster!$N$5:$N$1504,Roster!$B$5:$B$1504,$A391))</f>
        <v>1</v>
      </c>
      <c r="O391" s="100">
        <f>SUMIFS(Roster!$L$5:$L$1504,Roster!$B$5:$B$1504,$A391)</f>
        <v>8</v>
      </c>
      <c r="P391" s="83">
        <f>SUMIFS(Roster!$M$5:$M$1504,Roster!$B$5:$B$1504,$A391)*J391</f>
        <v>78300</v>
      </c>
      <c r="Q391" s="83">
        <f>SUMIFS(Roster!$O$5:$O$1504,Roster!$B$5:$B$1504,$A391)*J391</f>
        <v>117450.00000000001</v>
      </c>
      <c r="R391" s="82">
        <f t="shared" si="44"/>
        <v>117450.00000000001</v>
      </c>
      <c r="S391" s="82">
        <f t="shared" si="45"/>
        <v>0</v>
      </c>
      <c r="T391" s="82">
        <f t="shared" si="46"/>
        <v>1.4551915228366852E-11</v>
      </c>
      <c r="U391" s="82">
        <f t="shared" si="47"/>
        <v>0</v>
      </c>
      <c r="V391" s="83">
        <f>IF(COUNTIFS(Roster!$B$5:$B$1504,$A391,Roster!$G$5:$G$1504,"&gt;0")=0,0,SUMIFS(Roster!$H$5:$H$1504,Roster!$B$5:$B$1504,$A391,Roster!$G$5:$G$1504,_xlfn.MAXIFS(Roster!$G$5:$G$1504,Roster!$B$5:$B$1504,$A391)))</f>
        <v>0</v>
      </c>
      <c r="W391" s="101" t="str">
        <f t="shared" si="48"/>
        <v>Filled</v>
      </c>
    </row>
    <row r="392" spans="1:23" x14ac:dyDescent="0.25">
      <c r="A392" s="76" t="s">
        <v>823</v>
      </c>
      <c r="B392" s="76" t="s">
        <v>357</v>
      </c>
      <c r="C392" s="76" t="s">
        <v>795</v>
      </c>
      <c r="D392" s="97">
        <v>2</v>
      </c>
      <c r="E392" s="98" t="s">
        <v>325</v>
      </c>
      <c r="F392" s="78">
        <v>91000</v>
      </c>
      <c r="G392" s="97">
        <v>3</v>
      </c>
      <c r="H392" s="98" t="s">
        <v>399</v>
      </c>
      <c r="J392" s="99">
        <f>1+Assumptions!$B$11+INDEX(Assumptions!$B$12:$B$15,D392)*Assumptions!$B$16</f>
        <v>1.35</v>
      </c>
      <c r="K392" s="82">
        <f t="shared" si="42"/>
        <v>122850.00000000001</v>
      </c>
      <c r="L392" s="100">
        <f>IF(E392="Yes",MAX(0,Assumptions!$B$8-G392+1),0)</f>
        <v>6</v>
      </c>
      <c r="M392" s="82">
        <f t="shared" si="43"/>
        <v>61425.000000000015</v>
      </c>
      <c r="N392" s="100">
        <f>MIN(1,SUMIFS(Roster!$N$5:$N$1504,Roster!$B$5:$B$1504,$A392))</f>
        <v>1</v>
      </c>
      <c r="O392" s="100">
        <f>SUMIFS(Roster!$L$5:$L$1504,Roster!$B$5:$B$1504,$A392)</f>
        <v>4</v>
      </c>
      <c r="P392" s="83">
        <f>SUMIFS(Roster!$M$5:$M$1504,Roster!$B$5:$B$1504,$A392)*J392</f>
        <v>40725.000000000007</v>
      </c>
      <c r="Q392" s="83">
        <f>SUMIFS(Roster!$O$5:$O$1504,Roster!$B$5:$B$1504,$A392)*J392</f>
        <v>122175.00000000001</v>
      </c>
      <c r="R392" s="82">
        <f t="shared" si="44"/>
        <v>122175.00000000001</v>
      </c>
      <c r="S392" s="82">
        <f t="shared" si="45"/>
        <v>20475.000000000004</v>
      </c>
      <c r="T392" s="82">
        <f t="shared" si="46"/>
        <v>225</v>
      </c>
      <c r="U392" s="82">
        <f t="shared" si="47"/>
        <v>0</v>
      </c>
      <c r="V392" s="83">
        <f>IF(COUNTIFS(Roster!$B$5:$B$1504,$A392,Roster!$G$5:$G$1504,"&gt;0")=0,0,SUMIFS(Roster!$H$5:$H$1504,Roster!$B$5:$B$1504,$A392,Roster!$G$5:$G$1504,_xlfn.MAXIFS(Roster!$G$5:$G$1504,Roster!$B$5:$B$1504,$A392)))</f>
        <v>0</v>
      </c>
      <c r="W392" s="101" t="str">
        <f t="shared" si="48"/>
        <v>Filled</v>
      </c>
    </row>
    <row r="393" spans="1:23" x14ac:dyDescent="0.25">
      <c r="A393" s="76" t="s">
        <v>824</v>
      </c>
      <c r="B393" s="76" t="s">
        <v>357</v>
      </c>
      <c r="C393" s="76" t="s">
        <v>799</v>
      </c>
      <c r="D393" s="97">
        <v>3</v>
      </c>
      <c r="E393" s="98" t="s">
        <v>325</v>
      </c>
      <c r="F393" s="78">
        <v>127000</v>
      </c>
      <c r="G393" s="97">
        <v>5</v>
      </c>
      <c r="H393" s="98" t="s">
        <v>399</v>
      </c>
      <c r="J393" s="99">
        <f>1+Assumptions!$B$11+INDEX(Assumptions!$B$12:$B$15,D393)*Assumptions!$B$16</f>
        <v>1.4</v>
      </c>
      <c r="K393" s="82">
        <f t="shared" si="42"/>
        <v>177800</v>
      </c>
      <c r="L393" s="100">
        <f>IF(E393="Yes",MAX(0,Assumptions!$B$8-G393+1),0)</f>
        <v>4</v>
      </c>
      <c r="M393" s="82">
        <f t="shared" si="43"/>
        <v>59266.666666666664</v>
      </c>
      <c r="N393" s="100">
        <f>MIN(1,SUMIFS(Roster!$N$5:$N$1504,Roster!$B$5:$B$1504,$A393))</f>
        <v>0</v>
      </c>
      <c r="O393" s="100">
        <f>SUMIFS(Roster!$L$5:$L$1504,Roster!$B$5:$B$1504,$A393)</f>
        <v>0</v>
      </c>
      <c r="P393" s="83">
        <f>SUMIFS(Roster!$M$5:$M$1504,Roster!$B$5:$B$1504,$A393)*J393</f>
        <v>0</v>
      </c>
      <c r="Q393" s="83">
        <f>SUMIFS(Roster!$O$5:$O$1504,Roster!$B$5:$B$1504,$A393)*J393</f>
        <v>0</v>
      </c>
      <c r="R393" s="82">
        <f t="shared" si="44"/>
        <v>177800</v>
      </c>
      <c r="S393" s="82">
        <f t="shared" si="45"/>
        <v>59266.666666666664</v>
      </c>
      <c r="T393" s="82">
        <f t="shared" si="46"/>
        <v>0</v>
      </c>
      <c r="U393" s="82">
        <f t="shared" si="47"/>
        <v>0</v>
      </c>
      <c r="V393" s="83">
        <f>IF(COUNTIFS(Roster!$B$5:$B$1504,$A393,Roster!$G$5:$G$1504,"&gt;0")=0,0,SUMIFS(Roster!$H$5:$H$1504,Roster!$B$5:$B$1504,$A393,Roster!$G$5:$G$1504,_xlfn.MAXIFS(Roster!$G$5:$G$1504,Roster!$B$5:$B$1504,$A393)))</f>
        <v>0</v>
      </c>
      <c r="W393" s="101" t="str">
        <f t="shared" si="48"/>
        <v>Open: to fill</v>
      </c>
    </row>
    <row r="394" spans="1:23" x14ac:dyDescent="0.25">
      <c r="A394" s="76" t="s">
        <v>825</v>
      </c>
      <c r="B394" s="76" t="s">
        <v>359</v>
      </c>
      <c r="C394" s="76" t="s">
        <v>826</v>
      </c>
      <c r="D394" s="97">
        <v>2</v>
      </c>
      <c r="E394" s="98" t="s">
        <v>325</v>
      </c>
      <c r="F394" s="78">
        <v>84500</v>
      </c>
      <c r="G394" s="97">
        <v>1</v>
      </c>
      <c r="H394" s="98" t="s">
        <v>399</v>
      </c>
      <c r="J394" s="99">
        <f>1+Assumptions!$B$11+INDEX(Assumptions!$B$12:$B$15,D394)*Assumptions!$B$16</f>
        <v>1.35</v>
      </c>
      <c r="K394" s="82">
        <f t="shared" si="42"/>
        <v>114075.00000000001</v>
      </c>
      <c r="L394" s="100">
        <f>IF(E394="Yes",MAX(0,Assumptions!$B$8-G394+1),0)</f>
        <v>8</v>
      </c>
      <c r="M394" s="82">
        <f t="shared" si="43"/>
        <v>76050.000000000015</v>
      </c>
      <c r="N394" s="100">
        <f>MIN(1,SUMIFS(Roster!$N$5:$N$1504,Roster!$B$5:$B$1504,$A394))</f>
        <v>1</v>
      </c>
      <c r="O394" s="100">
        <f>SUMIFS(Roster!$L$5:$L$1504,Roster!$B$5:$B$1504,$A394)</f>
        <v>8</v>
      </c>
      <c r="P394" s="83">
        <f>SUMIFS(Roster!$M$5:$M$1504,Roster!$B$5:$B$1504,$A394)*J394</f>
        <v>75780.000000000015</v>
      </c>
      <c r="Q394" s="83">
        <f>SUMIFS(Roster!$O$5:$O$1504,Roster!$B$5:$B$1504,$A394)*J394</f>
        <v>113670.00000000001</v>
      </c>
      <c r="R394" s="82">
        <f t="shared" si="44"/>
        <v>113670.00000000001</v>
      </c>
      <c r="S394" s="82">
        <f t="shared" si="45"/>
        <v>0</v>
      </c>
      <c r="T394" s="82">
        <f t="shared" si="46"/>
        <v>270</v>
      </c>
      <c r="U394" s="82">
        <f t="shared" si="47"/>
        <v>0</v>
      </c>
      <c r="V394" s="83">
        <f>IF(COUNTIFS(Roster!$B$5:$B$1504,$A394,Roster!$G$5:$G$1504,"&gt;0")=0,0,SUMIFS(Roster!$H$5:$H$1504,Roster!$B$5:$B$1504,$A394,Roster!$G$5:$G$1504,_xlfn.MAXIFS(Roster!$G$5:$G$1504,Roster!$B$5:$B$1504,$A394)))</f>
        <v>0</v>
      </c>
      <c r="W394" s="101" t="str">
        <f t="shared" si="48"/>
        <v>Filled</v>
      </c>
    </row>
    <row r="395" spans="1:23" x14ac:dyDescent="0.25">
      <c r="A395" s="76" t="s">
        <v>827</v>
      </c>
      <c r="B395" s="76" t="s">
        <v>359</v>
      </c>
      <c r="C395" s="76" t="s">
        <v>828</v>
      </c>
      <c r="D395" s="97">
        <v>3</v>
      </c>
      <c r="E395" s="98" t="s">
        <v>325</v>
      </c>
      <c r="F395" s="78">
        <v>103000</v>
      </c>
      <c r="G395" s="97">
        <v>1</v>
      </c>
      <c r="H395" s="98" t="s">
        <v>399</v>
      </c>
      <c r="J395" s="99">
        <f>1+Assumptions!$B$11+INDEX(Assumptions!$B$12:$B$15,D395)*Assumptions!$B$16</f>
        <v>1.4</v>
      </c>
      <c r="K395" s="82">
        <f t="shared" si="42"/>
        <v>144200</v>
      </c>
      <c r="L395" s="100">
        <f>IF(E395="Yes",MAX(0,Assumptions!$B$8-G395+1),0)</f>
        <v>8</v>
      </c>
      <c r="M395" s="82">
        <f t="shared" si="43"/>
        <v>96133.333333333328</v>
      </c>
      <c r="N395" s="100">
        <f>MIN(1,SUMIFS(Roster!$N$5:$N$1504,Roster!$B$5:$B$1504,$A395))</f>
        <v>1</v>
      </c>
      <c r="O395" s="100">
        <f>SUMIFS(Roster!$L$5:$L$1504,Roster!$B$5:$B$1504,$A395)</f>
        <v>8</v>
      </c>
      <c r="P395" s="83">
        <f>SUMIFS(Roster!$M$5:$M$1504,Roster!$B$5:$B$1504,$A395)*J395</f>
        <v>97346.666666666657</v>
      </c>
      <c r="Q395" s="83">
        <f>SUMIFS(Roster!$O$5:$O$1504,Roster!$B$5:$B$1504,$A395)*J395</f>
        <v>146020</v>
      </c>
      <c r="R395" s="82">
        <f t="shared" si="44"/>
        <v>146020</v>
      </c>
      <c r="S395" s="82">
        <f t="shared" si="45"/>
        <v>0</v>
      </c>
      <c r="T395" s="82">
        <f t="shared" si="46"/>
        <v>-1213.3333333333285</v>
      </c>
      <c r="U395" s="82">
        <f t="shared" si="47"/>
        <v>0</v>
      </c>
      <c r="V395" s="83">
        <f>IF(COUNTIFS(Roster!$B$5:$B$1504,$A395,Roster!$G$5:$G$1504,"&gt;0")=0,0,SUMIFS(Roster!$H$5:$H$1504,Roster!$B$5:$B$1504,$A395,Roster!$G$5:$G$1504,_xlfn.MAXIFS(Roster!$G$5:$G$1504,Roster!$B$5:$B$1504,$A395)))</f>
        <v>0</v>
      </c>
      <c r="W395" s="101" t="str">
        <f t="shared" si="48"/>
        <v>Filled</v>
      </c>
    </row>
    <row r="396" spans="1:23" x14ac:dyDescent="0.25">
      <c r="A396" s="76" t="s">
        <v>829</v>
      </c>
      <c r="B396" s="76" t="s">
        <v>359</v>
      </c>
      <c r="C396" s="76" t="s">
        <v>830</v>
      </c>
      <c r="D396" s="97">
        <v>1</v>
      </c>
      <c r="E396" s="98" t="s">
        <v>325</v>
      </c>
      <c r="F396" s="78">
        <v>62000</v>
      </c>
      <c r="G396" s="97">
        <v>1</v>
      </c>
      <c r="H396" s="98" t="s">
        <v>399</v>
      </c>
      <c r="J396" s="99">
        <f>1+Assumptions!$B$11+INDEX(Assumptions!$B$12:$B$15,D396)*Assumptions!$B$16</f>
        <v>1.3</v>
      </c>
      <c r="K396" s="82">
        <f t="shared" si="42"/>
        <v>80600</v>
      </c>
      <c r="L396" s="100">
        <f>IF(E396="Yes",MAX(0,Assumptions!$B$8-G396+1),0)</f>
        <v>8</v>
      </c>
      <c r="M396" s="82">
        <f t="shared" si="43"/>
        <v>53733.333333333336</v>
      </c>
      <c r="N396" s="100">
        <f>MIN(1,SUMIFS(Roster!$N$5:$N$1504,Roster!$B$5:$B$1504,$A396))</f>
        <v>1</v>
      </c>
      <c r="O396" s="100">
        <f>SUMIFS(Roster!$L$5:$L$1504,Roster!$B$5:$B$1504,$A396)</f>
        <v>8</v>
      </c>
      <c r="P396" s="83">
        <f>SUMIFS(Roster!$M$5:$M$1504,Roster!$B$5:$B$1504,$A396)*J396</f>
        <v>54253.333333333336</v>
      </c>
      <c r="Q396" s="83">
        <f>SUMIFS(Roster!$O$5:$O$1504,Roster!$B$5:$B$1504,$A396)*J396</f>
        <v>81380</v>
      </c>
      <c r="R396" s="82">
        <f t="shared" si="44"/>
        <v>81380</v>
      </c>
      <c r="S396" s="82">
        <f t="shared" si="45"/>
        <v>0</v>
      </c>
      <c r="T396" s="82">
        <f t="shared" si="46"/>
        <v>-520</v>
      </c>
      <c r="U396" s="82">
        <f t="shared" si="47"/>
        <v>0</v>
      </c>
      <c r="V396" s="83">
        <f>IF(COUNTIFS(Roster!$B$5:$B$1504,$A396,Roster!$G$5:$G$1504,"&gt;0")=0,0,SUMIFS(Roster!$H$5:$H$1504,Roster!$B$5:$B$1504,$A396,Roster!$G$5:$G$1504,_xlfn.MAXIFS(Roster!$G$5:$G$1504,Roster!$B$5:$B$1504,$A396)))</f>
        <v>0</v>
      </c>
      <c r="W396" s="101" t="str">
        <f t="shared" si="48"/>
        <v>Filled</v>
      </c>
    </row>
    <row r="397" spans="1:23" x14ac:dyDescent="0.25">
      <c r="A397" s="76" t="s">
        <v>831</v>
      </c>
      <c r="B397" s="76" t="s">
        <v>359</v>
      </c>
      <c r="C397" s="76" t="s">
        <v>826</v>
      </c>
      <c r="D397" s="97">
        <v>2</v>
      </c>
      <c r="E397" s="98" t="s">
        <v>325</v>
      </c>
      <c r="F397" s="78">
        <v>72000</v>
      </c>
      <c r="G397" s="97">
        <v>1</v>
      </c>
      <c r="H397" s="98" t="s">
        <v>399</v>
      </c>
      <c r="J397" s="99">
        <f>1+Assumptions!$B$11+INDEX(Assumptions!$B$12:$B$15,D397)*Assumptions!$B$16</f>
        <v>1.35</v>
      </c>
      <c r="K397" s="82">
        <f t="shared" si="42"/>
        <v>97200</v>
      </c>
      <c r="L397" s="100">
        <f>IF(E397="Yes",MAX(0,Assumptions!$B$8-G397+1),0)</f>
        <v>8</v>
      </c>
      <c r="M397" s="82">
        <f t="shared" si="43"/>
        <v>64800</v>
      </c>
      <c r="N397" s="100">
        <f>MIN(1,SUMIFS(Roster!$N$5:$N$1504,Roster!$B$5:$B$1504,$A397))</f>
        <v>1</v>
      </c>
      <c r="O397" s="100">
        <f>SUMIFS(Roster!$L$5:$L$1504,Roster!$B$5:$B$1504,$A397)</f>
        <v>8</v>
      </c>
      <c r="P397" s="83">
        <f>SUMIFS(Roster!$M$5:$M$1504,Roster!$B$5:$B$1504,$A397)*J397</f>
        <v>65070.000000000007</v>
      </c>
      <c r="Q397" s="83">
        <f>SUMIFS(Roster!$O$5:$O$1504,Roster!$B$5:$B$1504,$A397)*J397</f>
        <v>97605</v>
      </c>
      <c r="R397" s="82">
        <f t="shared" si="44"/>
        <v>97605</v>
      </c>
      <c r="S397" s="82">
        <f t="shared" si="45"/>
        <v>0</v>
      </c>
      <c r="T397" s="82">
        <f t="shared" si="46"/>
        <v>-270.00000000000728</v>
      </c>
      <c r="U397" s="82">
        <f t="shared" si="47"/>
        <v>0</v>
      </c>
      <c r="V397" s="83">
        <f>IF(COUNTIFS(Roster!$B$5:$B$1504,$A397,Roster!$G$5:$G$1504,"&gt;0")=0,0,SUMIFS(Roster!$H$5:$H$1504,Roster!$B$5:$B$1504,$A397,Roster!$G$5:$G$1504,_xlfn.MAXIFS(Roster!$G$5:$G$1504,Roster!$B$5:$B$1504,$A397)))</f>
        <v>0</v>
      </c>
      <c r="W397" s="101" t="str">
        <f t="shared" si="48"/>
        <v>Filled</v>
      </c>
    </row>
    <row r="398" spans="1:23" x14ac:dyDescent="0.25">
      <c r="A398" s="76" t="s">
        <v>832</v>
      </c>
      <c r="B398" s="76" t="s">
        <v>359</v>
      </c>
      <c r="C398" s="76" t="s">
        <v>830</v>
      </c>
      <c r="D398" s="97">
        <v>1</v>
      </c>
      <c r="E398" s="98" t="s">
        <v>325</v>
      </c>
      <c r="F398" s="78">
        <v>68000</v>
      </c>
      <c r="G398" s="97">
        <v>1</v>
      </c>
      <c r="H398" s="98" t="s">
        <v>399</v>
      </c>
      <c r="J398" s="99">
        <f>1+Assumptions!$B$11+INDEX(Assumptions!$B$12:$B$15,D398)*Assumptions!$B$16</f>
        <v>1.3</v>
      </c>
      <c r="K398" s="82">
        <f t="shared" si="42"/>
        <v>88400</v>
      </c>
      <c r="L398" s="100">
        <f>IF(E398="Yes",MAX(0,Assumptions!$B$8-G398+1),0)</f>
        <v>8</v>
      </c>
      <c r="M398" s="82">
        <f t="shared" si="43"/>
        <v>58933.333333333336</v>
      </c>
      <c r="N398" s="100">
        <f>MIN(1,SUMIFS(Roster!$N$5:$N$1504,Roster!$B$5:$B$1504,$A398))</f>
        <v>1</v>
      </c>
      <c r="O398" s="100">
        <f>SUMIFS(Roster!$L$5:$L$1504,Roster!$B$5:$B$1504,$A398)</f>
        <v>8</v>
      </c>
      <c r="P398" s="83">
        <f>SUMIFS(Roster!$M$5:$M$1504,Roster!$B$5:$B$1504,$A398)*J398</f>
        <v>58673.333333333336</v>
      </c>
      <c r="Q398" s="83">
        <f>SUMIFS(Roster!$O$5:$O$1504,Roster!$B$5:$B$1504,$A398)*J398</f>
        <v>88010</v>
      </c>
      <c r="R398" s="82">
        <f t="shared" si="44"/>
        <v>88010</v>
      </c>
      <c r="S398" s="82">
        <f t="shared" si="45"/>
        <v>0</v>
      </c>
      <c r="T398" s="82">
        <f t="shared" si="46"/>
        <v>260</v>
      </c>
      <c r="U398" s="82">
        <f t="shared" si="47"/>
        <v>0</v>
      </c>
      <c r="V398" s="83">
        <f>IF(COUNTIFS(Roster!$B$5:$B$1504,$A398,Roster!$G$5:$G$1504,"&gt;0")=0,0,SUMIFS(Roster!$H$5:$H$1504,Roster!$B$5:$B$1504,$A398,Roster!$G$5:$G$1504,_xlfn.MAXIFS(Roster!$G$5:$G$1504,Roster!$B$5:$B$1504,$A398)))</f>
        <v>0</v>
      </c>
      <c r="W398" s="101" t="str">
        <f t="shared" si="48"/>
        <v>Filled</v>
      </c>
    </row>
    <row r="399" spans="1:23" x14ac:dyDescent="0.25">
      <c r="A399" s="76" t="s">
        <v>833</v>
      </c>
      <c r="B399" s="76" t="s">
        <v>359</v>
      </c>
      <c r="C399" s="76" t="s">
        <v>826</v>
      </c>
      <c r="D399" s="97">
        <v>2</v>
      </c>
      <c r="E399" s="98" t="s">
        <v>325</v>
      </c>
      <c r="F399" s="78">
        <v>76000</v>
      </c>
      <c r="G399" s="97">
        <v>1</v>
      </c>
      <c r="H399" s="98" t="s">
        <v>399</v>
      </c>
      <c r="J399" s="99">
        <f>1+Assumptions!$B$11+INDEX(Assumptions!$B$12:$B$15,D399)*Assumptions!$B$16</f>
        <v>1.35</v>
      </c>
      <c r="K399" s="82">
        <f t="shared" si="42"/>
        <v>102600</v>
      </c>
      <c r="L399" s="100">
        <f>IF(E399="Yes",MAX(0,Assumptions!$B$8-G399+1),0)</f>
        <v>8</v>
      </c>
      <c r="M399" s="82">
        <f t="shared" si="43"/>
        <v>68400</v>
      </c>
      <c r="N399" s="100">
        <f>MIN(1,SUMIFS(Roster!$N$5:$N$1504,Roster!$B$5:$B$1504,$A399))</f>
        <v>1</v>
      </c>
      <c r="O399" s="100">
        <f>SUMIFS(Roster!$L$5:$L$1504,Roster!$B$5:$B$1504,$A399)</f>
        <v>8</v>
      </c>
      <c r="P399" s="83">
        <f>SUMIFS(Roster!$M$5:$M$1504,Roster!$B$5:$B$1504,$A399)*J399</f>
        <v>68130</v>
      </c>
      <c r="Q399" s="83">
        <f>SUMIFS(Roster!$O$5:$O$1504,Roster!$B$5:$B$1504,$A399)*J399</f>
        <v>102195</v>
      </c>
      <c r="R399" s="82">
        <f t="shared" si="44"/>
        <v>102195</v>
      </c>
      <c r="S399" s="82">
        <f t="shared" si="45"/>
        <v>0</v>
      </c>
      <c r="T399" s="82">
        <f t="shared" si="46"/>
        <v>270</v>
      </c>
      <c r="U399" s="82">
        <f t="shared" si="47"/>
        <v>0</v>
      </c>
      <c r="V399" s="83">
        <f>IF(COUNTIFS(Roster!$B$5:$B$1504,$A399,Roster!$G$5:$G$1504,"&gt;0")=0,0,SUMIFS(Roster!$H$5:$H$1504,Roster!$B$5:$B$1504,$A399,Roster!$G$5:$G$1504,_xlfn.MAXIFS(Roster!$G$5:$G$1504,Roster!$B$5:$B$1504,$A399)))</f>
        <v>0</v>
      </c>
      <c r="W399" s="101" t="str">
        <f t="shared" si="48"/>
        <v>Filled</v>
      </c>
    </row>
    <row r="400" spans="1:23" x14ac:dyDescent="0.25">
      <c r="A400" s="76" t="s">
        <v>834</v>
      </c>
      <c r="B400" s="76" t="s">
        <v>359</v>
      </c>
      <c r="C400" s="76" t="s">
        <v>830</v>
      </c>
      <c r="D400" s="97">
        <v>1</v>
      </c>
      <c r="E400" s="98" t="s">
        <v>325</v>
      </c>
      <c r="F400" s="78">
        <v>55000</v>
      </c>
      <c r="G400" s="97">
        <v>1</v>
      </c>
      <c r="H400" s="98" t="s">
        <v>399</v>
      </c>
      <c r="J400" s="99">
        <f>1+Assumptions!$B$11+INDEX(Assumptions!$B$12:$B$15,D400)*Assumptions!$B$16</f>
        <v>1.3</v>
      </c>
      <c r="K400" s="82">
        <f t="shared" si="42"/>
        <v>71500</v>
      </c>
      <c r="L400" s="100">
        <f>IF(E400="Yes",MAX(0,Assumptions!$B$8-G400+1),0)</f>
        <v>8</v>
      </c>
      <c r="M400" s="82">
        <f t="shared" si="43"/>
        <v>47666.666666666664</v>
      </c>
      <c r="N400" s="100">
        <f>MIN(1,SUMIFS(Roster!$N$5:$N$1504,Roster!$B$5:$B$1504,$A400))</f>
        <v>1</v>
      </c>
      <c r="O400" s="100">
        <f>SUMIFS(Roster!$L$5:$L$1504,Roster!$B$5:$B$1504,$A400)</f>
        <v>8</v>
      </c>
      <c r="P400" s="83">
        <f>SUMIFS(Roster!$M$5:$M$1504,Roster!$B$5:$B$1504,$A400)*J400</f>
        <v>48100</v>
      </c>
      <c r="Q400" s="83">
        <f>SUMIFS(Roster!$O$5:$O$1504,Roster!$B$5:$B$1504,$A400)*J400</f>
        <v>72150</v>
      </c>
      <c r="R400" s="82">
        <f t="shared" si="44"/>
        <v>72150</v>
      </c>
      <c r="S400" s="82">
        <f t="shared" si="45"/>
        <v>0</v>
      </c>
      <c r="T400" s="82">
        <f t="shared" si="46"/>
        <v>-433.33333333333576</v>
      </c>
      <c r="U400" s="82">
        <f t="shared" si="47"/>
        <v>0</v>
      </c>
      <c r="V400" s="83">
        <f>IF(COUNTIFS(Roster!$B$5:$B$1504,$A400,Roster!$G$5:$G$1504,"&gt;0")=0,0,SUMIFS(Roster!$H$5:$H$1504,Roster!$B$5:$B$1504,$A400,Roster!$G$5:$G$1504,_xlfn.MAXIFS(Roster!$G$5:$G$1504,Roster!$B$5:$B$1504,$A400)))</f>
        <v>0</v>
      </c>
      <c r="W400" s="101" t="str">
        <f t="shared" si="48"/>
        <v>Filled</v>
      </c>
    </row>
    <row r="401" spans="1:23" x14ac:dyDescent="0.25">
      <c r="A401" s="76" t="s">
        <v>835</v>
      </c>
      <c r="B401" s="76" t="s">
        <v>359</v>
      </c>
      <c r="C401" s="76" t="s">
        <v>826</v>
      </c>
      <c r="D401" s="97">
        <v>2</v>
      </c>
      <c r="E401" s="98" t="s">
        <v>325</v>
      </c>
      <c r="F401" s="78">
        <v>78500</v>
      </c>
      <c r="G401" s="97">
        <v>1</v>
      </c>
      <c r="H401" s="98" t="s">
        <v>399</v>
      </c>
      <c r="J401" s="99">
        <f>1+Assumptions!$B$11+INDEX(Assumptions!$B$12:$B$15,D401)*Assumptions!$B$16</f>
        <v>1.35</v>
      </c>
      <c r="K401" s="82">
        <f t="shared" si="42"/>
        <v>105975</v>
      </c>
      <c r="L401" s="100">
        <f>IF(E401="Yes",MAX(0,Assumptions!$B$8-G401+1),0)</f>
        <v>8</v>
      </c>
      <c r="M401" s="82">
        <f t="shared" si="43"/>
        <v>70650</v>
      </c>
      <c r="N401" s="100">
        <f>MIN(1,SUMIFS(Roster!$N$5:$N$1504,Roster!$B$5:$B$1504,$A401))</f>
        <v>1</v>
      </c>
      <c r="O401" s="100">
        <f>SUMIFS(Roster!$L$5:$L$1504,Roster!$B$5:$B$1504,$A401)</f>
        <v>8</v>
      </c>
      <c r="P401" s="83">
        <f>SUMIFS(Roster!$M$5:$M$1504,Roster!$B$5:$B$1504,$A401)*J401</f>
        <v>69750</v>
      </c>
      <c r="Q401" s="83">
        <f>SUMIFS(Roster!$O$5:$O$1504,Roster!$B$5:$B$1504,$A401)*J401</f>
        <v>104625</v>
      </c>
      <c r="R401" s="82">
        <f t="shared" si="44"/>
        <v>104625</v>
      </c>
      <c r="S401" s="82">
        <f t="shared" si="45"/>
        <v>0</v>
      </c>
      <c r="T401" s="82">
        <f t="shared" si="46"/>
        <v>900</v>
      </c>
      <c r="U401" s="82">
        <f t="shared" si="47"/>
        <v>0</v>
      </c>
      <c r="V401" s="83">
        <f>IF(COUNTIFS(Roster!$B$5:$B$1504,$A401,Roster!$G$5:$G$1504,"&gt;0")=0,0,SUMIFS(Roster!$H$5:$H$1504,Roster!$B$5:$B$1504,$A401,Roster!$G$5:$G$1504,_xlfn.MAXIFS(Roster!$G$5:$G$1504,Roster!$B$5:$B$1504,$A401)))</f>
        <v>0</v>
      </c>
      <c r="W401" s="101" t="str">
        <f t="shared" si="48"/>
        <v>Filled</v>
      </c>
    </row>
    <row r="402" spans="1:23" x14ac:dyDescent="0.25">
      <c r="A402" s="76" t="s">
        <v>836</v>
      </c>
      <c r="B402" s="76" t="s">
        <v>359</v>
      </c>
      <c r="C402" s="76" t="s">
        <v>830</v>
      </c>
      <c r="D402" s="97">
        <v>1</v>
      </c>
      <c r="E402" s="98" t="s">
        <v>325</v>
      </c>
      <c r="F402" s="78">
        <v>63000</v>
      </c>
      <c r="G402" s="97">
        <v>1</v>
      </c>
      <c r="H402" s="98" t="s">
        <v>399</v>
      </c>
      <c r="J402" s="99">
        <f>1+Assumptions!$B$11+INDEX(Assumptions!$B$12:$B$15,D402)*Assumptions!$B$16</f>
        <v>1.3</v>
      </c>
      <c r="K402" s="82">
        <f t="shared" si="42"/>
        <v>81900</v>
      </c>
      <c r="L402" s="100">
        <f>IF(E402="Yes",MAX(0,Assumptions!$B$8-G402+1),0)</f>
        <v>8</v>
      </c>
      <c r="M402" s="82">
        <f t="shared" si="43"/>
        <v>54600</v>
      </c>
      <c r="N402" s="100">
        <f>MIN(1,SUMIFS(Roster!$N$5:$N$1504,Roster!$B$5:$B$1504,$A402))</f>
        <v>1</v>
      </c>
      <c r="O402" s="100">
        <f>SUMIFS(Roster!$L$5:$L$1504,Roster!$B$5:$B$1504,$A402)</f>
        <v>8</v>
      </c>
      <c r="P402" s="83">
        <f>SUMIFS(Roster!$M$5:$M$1504,Roster!$B$5:$B$1504,$A402)*J402</f>
        <v>54513.333333333336</v>
      </c>
      <c r="Q402" s="83">
        <f>SUMIFS(Roster!$O$5:$O$1504,Roster!$B$5:$B$1504,$A402)*J402</f>
        <v>81770</v>
      </c>
      <c r="R402" s="82">
        <f t="shared" si="44"/>
        <v>81770</v>
      </c>
      <c r="S402" s="82">
        <f t="shared" si="45"/>
        <v>0</v>
      </c>
      <c r="T402" s="82">
        <f t="shared" si="46"/>
        <v>86.666666666664241</v>
      </c>
      <c r="U402" s="82">
        <f t="shared" si="47"/>
        <v>0</v>
      </c>
      <c r="V402" s="83">
        <f>IF(COUNTIFS(Roster!$B$5:$B$1504,$A402,Roster!$G$5:$G$1504,"&gt;0")=0,0,SUMIFS(Roster!$H$5:$H$1504,Roster!$B$5:$B$1504,$A402,Roster!$G$5:$G$1504,_xlfn.MAXIFS(Roster!$G$5:$G$1504,Roster!$B$5:$B$1504,$A402)))</f>
        <v>0</v>
      </c>
      <c r="W402" s="101" t="str">
        <f t="shared" si="48"/>
        <v>Filled</v>
      </c>
    </row>
    <row r="403" spans="1:23" x14ac:dyDescent="0.25">
      <c r="A403" s="76" t="s">
        <v>837</v>
      </c>
      <c r="B403" s="76" t="s">
        <v>359</v>
      </c>
      <c r="C403" s="76" t="s">
        <v>830</v>
      </c>
      <c r="D403" s="97">
        <v>1</v>
      </c>
      <c r="E403" s="98" t="s">
        <v>325</v>
      </c>
      <c r="F403" s="78">
        <v>63500</v>
      </c>
      <c r="G403" s="97">
        <v>1</v>
      </c>
      <c r="H403" s="98" t="s">
        <v>399</v>
      </c>
      <c r="J403" s="99">
        <f>1+Assumptions!$B$11+INDEX(Assumptions!$B$12:$B$15,D403)*Assumptions!$B$16</f>
        <v>1.3</v>
      </c>
      <c r="K403" s="82">
        <f t="shared" si="42"/>
        <v>82550</v>
      </c>
      <c r="L403" s="100">
        <f>IF(E403="Yes",MAX(0,Assumptions!$B$8-G403+1),0)</f>
        <v>8</v>
      </c>
      <c r="M403" s="82">
        <f t="shared" si="43"/>
        <v>55033.333333333336</v>
      </c>
      <c r="N403" s="100">
        <f>MIN(1,SUMIFS(Roster!$N$5:$N$1504,Roster!$B$5:$B$1504,$A403))</f>
        <v>1</v>
      </c>
      <c r="O403" s="100">
        <f>SUMIFS(Roster!$L$5:$L$1504,Roster!$B$5:$B$1504,$A403)</f>
        <v>8</v>
      </c>
      <c r="P403" s="83">
        <f>SUMIFS(Roster!$M$5:$M$1504,Roster!$B$5:$B$1504,$A403)*J403</f>
        <v>54773.333333333336</v>
      </c>
      <c r="Q403" s="83">
        <f>SUMIFS(Roster!$O$5:$O$1504,Roster!$B$5:$B$1504,$A403)*J403</f>
        <v>82160</v>
      </c>
      <c r="R403" s="82">
        <f t="shared" si="44"/>
        <v>82160</v>
      </c>
      <c r="S403" s="82">
        <f t="shared" si="45"/>
        <v>0</v>
      </c>
      <c r="T403" s="82">
        <f t="shared" si="46"/>
        <v>260</v>
      </c>
      <c r="U403" s="82">
        <f t="shared" si="47"/>
        <v>0</v>
      </c>
      <c r="V403" s="83">
        <f>IF(COUNTIFS(Roster!$B$5:$B$1504,$A403,Roster!$G$5:$G$1504,"&gt;0")=0,0,SUMIFS(Roster!$H$5:$H$1504,Roster!$B$5:$B$1504,$A403,Roster!$G$5:$G$1504,_xlfn.MAXIFS(Roster!$G$5:$G$1504,Roster!$B$5:$B$1504,$A403)))</f>
        <v>0</v>
      </c>
      <c r="W403" s="101" t="str">
        <f t="shared" si="48"/>
        <v>Filled</v>
      </c>
    </row>
    <row r="404" spans="1:23" x14ac:dyDescent="0.25">
      <c r="A404" s="76" t="s">
        <v>838</v>
      </c>
      <c r="B404" s="76" t="s">
        <v>359</v>
      </c>
      <c r="C404" s="76" t="s">
        <v>826</v>
      </c>
      <c r="D404" s="97">
        <v>2</v>
      </c>
      <c r="E404" s="98" t="s">
        <v>325</v>
      </c>
      <c r="F404" s="78">
        <v>75500</v>
      </c>
      <c r="G404" s="97">
        <v>1</v>
      </c>
      <c r="H404" s="98" t="s">
        <v>399</v>
      </c>
      <c r="J404" s="99">
        <f>1+Assumptions!$B$11+INDEX(Assumptions!$B$12:$B$15,D404)*Assumptions!$B$16</f>
        <v>1.35</v>
      </c>
      <c r="K404" s="82">
        <f t="shared" si="42"/>
        <v>101925</v>
      </c>
      <c r="L404" s="100">
        <f>IF(E404="Yes",MAX(0,Assumptions!$B$8-G404+1),0)</f>
        <v>8</v>
      </c>
      <c r="M404" s="82">
        <f t="shared" si="43"/>
        <v>67950</v>
      </c>
      <c r="N404" s="100">
        <f>MIN(1,SUMIFS(Roster!$N$5:$N$1504,Roster!$B$5:$B$1504,$A404))</f>
        <v>1</v>
      </c>
      <c r="O404" s="100">
        <f>SUMIFS(Roster!$L$5:$L$1504,Roster!$B$5:$B$1504,$A404)</f>
        <v>8</v>
      </c>
      <c r="P404" s="83">
        <f>SUMIFS(Roster!$M$5:$M$1504,Roster!$B$5:$B$1504,$A404)*J404</f>
        <v>67770</v>
      </c>
      <c r="Q404" s="83">
        <f>SUMIFS(Roster!$O$5:$O$1504,Roster!$B$5:$B$1504,$A404)*J404</f>
        <v>101655</v>
      </c>
      <c r="R404" s="82">
        <f t="shared" si="44"/>
        <v>101655</v>
      </c>
      <c r="S404" s="82">
        <f t="shared" si="45"/>
        <v>0</v>
      </c>
      <c r="T404" s="82">
        <f t="shared" si="46"/>
        <v>180</v>
      </c>
      <c r="U404" s="82">
        <f t="shared" si="47"/>
        <v>0</v>
      </c>
      <c r="V404" s="83">
        <f>IF(COUNTIFS(Roster!$B$5:$B$1504,$A404,Roster!$G$5:$G$1504,"&gt;0")=0,0,SUMIFS(Roster!$H$5:$H$1504,Roster!$B$5:$B$1504,$A404,Roster!$G$5:$G$1504,_xlfn.MAXIFS(Roster!$G$5:$G$1504,Roster!$B$5:$B$1504,$A404)))</f>
        <v>0</v>
      </c>
      <c r="W404" s="101" t="str">
        <f t="shared" si="48"/>
        <v>Filled</v>
      </c>
    </row>
    <row r="405" spans="1:23" x14ac:dyDescent="0.25">
      <c r="A405" s="76" t="s">
        <v>839</v>
      </c>
      <c r="B405" s="76" t="s">
        <v>359</v>
      </c>
      <c r="C405" s="76" t="s">
        <v>826</v>
      </c>
      <c r="D405" s="97">
        <v>2</v>
      </c>
      <c r="E405" s="98" t="s">
        <v>325</v>
      </c>
      <c r="F405" s="78">
        <v>77500</v>
      </c>
      <c r="G405" s="97">
        <v>1</v>
      </c>
      <c r="H405" s="98" t="s">
        <v>399</v>
      </c>
      <c r="J405" s="99">
        <f>1+Assumptions!$B$11+INDEX(Assumptions!$B$12:$B$15,D405)*Assumptions!$B$16</f>
        <v>1.35</v>
      </c>
      <c r="K405" s="82">
        <f t="shared" si="42"/>
        <v>104625</v>
      </c>
      <c r="L405" s="100">
        <f>IF(E405="Yes",MAX(0,Assumptions!$B$8-G405+1),0)</f>
        <v>8</v>
      </c>
      <c r="M405" s="82">
        <f t="shared" si="43"/>
        <v>69750</v>
      </c>
      <c r="N405" s="100">
        <f>MIN(1,SUMIFS(Roster!$N$5:$N$1504,Roster!$B$5:$B$1504,$A405))</f>
        <v>1</v>
      </c>
      <c r="O405" s="100">
        <f>SUMIFS(Roster!$L$5:$L$1504,Roster!$B$5:$B$1504,$A405)</f>
        <v>8</v>
      </c>
      <c r="P405" s="83">
        <f>SUMIFS(Roster!$M$5:$M$1504,Roster!$B$5:$B$1504,$A405)*J405</f>
        <v>69750</v>
      </c>
      <c r="Q405" s="83">
        <f>SUMIFS(Roster!$O$5:$O$1504,Roster!$B$5:$B$1504,$A405)*J405</f>
        <v>104625</v>
      </c>
      <c r="R405" s="82">
        <f t="shared" si="44"/>
        <v>104625</v>
      </c>
      <c r="S405" s="82">
        <f t="shared" si="45"/>
        <v>0</v>
      </c>
      <c r="T405" s="82">
        <f t="shared" si="46"/>
        <v>0</v>
      </c>
      <c r="U405" s="82">
        <f t="shared" si="47"/>
        <v>0</v>
      </c>
      <c r="V405" s="83">
        <f>IF(COUNTIFS(Roster!$B$5:$B$1504,$A405,Roster!$G$5:$G$1504,"&gt;0")=0,0,SUMIFS(Roster!$H$5:$H$1504,Roster!$B$5:$B$1504,$A405,Roster!$G$5:$G$1504,_xlfn.MAXIFS(Roster!$G$5:$G$1504,Roster!$B$5:$B$1504,$A405)))</f>
        <v>0</v>
      </c>
      <c r="W405" s="101" t="str">
        <f t="shared" si="48"/>
        <v>Filled</v>
      </c>
    </row>
    <row r="406" spans="1:23" x14ac:dyDescent="0.25">
      <c r="A406" s="76" t="s">
        <v>840</v>
      </c>
      <c r="B406" s="76" t="s">
        <v>359</v>
      </c>
      <c r="C406" s="76" t="s">
        <v>830</v>
      </c>
      <c r="D406" s="97">
        <v>1</v>
      </c>
      <c r="E406" s="98" t="s">
        <v>325</v>
      </c>
      <c r="F406" s="78">
        <v>66500</v>
      </c>
      <c r="G406" s="97">
        <v>1</v>
      </c>
      <c r="H406" s="98" t="s">
        <v>399</v>
      </c>
      <c r="J406" s="99">
        <f>1+Assumptions!$B$11+INDEX(Assumptions!$B$12:$B$15,D406)*Assumptions!$B$16</f>
        <v>1.3</v>
      </c>
      <c r="K406" s="82">
        <f t="shared" si="42"/>
        <v>86450</v>
      </c>
      <c r="L406" s="100">
        <f>IF(E406="Yes",MAX(0,Assumptions!$B$8-G406+1),0)</f>
        <v>8</v>
      </c>
      <c r="M406" s="82">
        <f t="shared" si="43"/>
        <v>57633.333333333336</v>
      </c>
      <c r="N406" s="100">
        <f>MIN(1,SUMIFS(Roster!$N$5:$N$1504,Roster!$B$5:$B$1504,$A406))</f>
        <v>1</v>
      </c>
      <c r="O406" s="100">
        <f>SUMIFS(Roster!$L$5:$L$1504,Roster!$B$5:$B$1504,$A406)</f>
        <v>8</v>
      </c>
      <c r="P406" s="83">
        <f>SUMIFS(Roster!$M$5:$M$1504,Roster!$B$5:$B$1504,$A406)*J406</f>
        <v>58066.666666666664</v>
      </c>
      <c r="Q406" s="83">
        <f>SUMIFS(Roster!$O$5:$O$1504,Roster!$B$5:$B$1504,$A406)*J406</f>
        <v>87100</v>
      </c>
      <c r="R406" s="82">
        <f t="shared" si="44"/>
        <v>87100</v>
      </c>
      <c r="S406" s="82">
        <f t="shared" si="45"/>
        <v>0</v>
      </c>
      <c r="T406" s="82">
        <f t="shared" si="46"/>
        <v>-433.33333333332848</v>
      </c>
      <c r="U406" s="82">
        <f t="shared" si="47"/>
        <v>0</v>
      </c>
      <c r="V406" s="83">
        <f>IF(COUNTIFS(Roster!$B$5:$B$1504,$A406,Roster!$G$5:$G$1504,"&gt;0")=0,0,SUMIFS(Roster!$H$5:$H$1504,Roster!$B$5:$B$1504,$A406,Roster!$G$5:$G$1504,_xlfn.MAXIFS(Roster!$G$5:$G$1504,Roster!$B$5:$B$1504,$A406)))</f>
        <v>0</v>
      </c>
      <c r="W406" s="101" t="str">
        <f t="shared" si="48"/>
        <v>Filled</v>
      </c>
    </row>
    <row r="407" spans="1:23" x14ac:dyDescent="0.25">
      <c r="A407" s="76" t="s">
        <v>841</v>
      </c>
      <c r="B407" s="76" t="s">
        <v>359</v>
      </c>
      <c r="C407" s="76" t="s">
        <v>842</v>
      </c>
      <c r="D407" s="97">
        <v>4</v>
      </c>
      <c r="E407" s="98" t="s">
        <v>325</v>
      </c>
      <c r="F407" s="78">
        <v>165500</v>
      </c>
      <c r="G407" s="97">
        <v>1</v>
      </c>
      <c r="H407" s="98" t="s">
        <v>399</v>
      </c>
      <c r="J407" s="99">
        <f>1+Assumptions!$B$11+INDEX(Assumptions!$B$12:$B$15,D407)*Assumptions!$B$16</f>
        <v>1.5</v>
      </c>
      <c r="K407" s="82">
        <f t="shared" si="42"/>
        <v>248250</v>
      </c>
      <c r="L407" s="100">
        <f>IF(E407="Yes",MAX(0,Assumptions!$B$8-G407+1),0)</f>
        <v>8</v>
      </c>
      <c r="M407" s="82">
        <f t="shared" si="43"/>
        <v>165500</v>
      </c>
      <c r="N407" s="100">
        <f>MIN(1,SUMIFS(Roster!$N$5:$N$1504,Roster!$B$5:$B$1504,$A407))</f>
        <v>1</v>
      </c>
      <c r="O407" s="100">
        <f>SUMIFS(Roster!$L$5:$L$1504,Roster!$B$5:$B$1504,$A407)</f>
        <v>8</v>
      </c>
      <c r="P407" s="83">
        <f>SUMIFS(Roster!$M$5:$M$1504,Roster!$B$5:$B$1504,$A407)*J407</f>
        <v>167400</v>
      </c>
      <c r="Q407" s="83">
        <f>SUMIFS(Roster!$O$5:$O$1504,Roster!$B$5:$B$1504,$A407)*J407</f>
        <v>251100</v>
      </c>
      <c r="R407" s="82">
        <f t="shared" si="44"/>
        <v>251100</v>
      </c>
      <c r="S407" s="82">
        <f t="shared" si="45"/>
        <v>0</v>
      </c>
      <c r="T407" s="82">
        <f t="shared" si="46"/>
        <v>-1900</v>
      </c>
      <c r="U407" s="82">
        <f t="shared" si="47"/>
        <v>0</v>
      </c>
      <c r="V407" s="83">
        <f>IF(COUNTIFS(Roster!$B$5:$B$1504,$A407,Roster!$G$5:$G$1504,"&gt;0")=0,0,SUMIFS(Roster!$H$5:$H$1504,Roster!$B$5:$B$1504,$A407,Roster!$G$5:$G$1504,_xlfn.MAXIFS(Roster!$G$5:$G$1504,Roster!$B$5:$B$1504,$A407)))</f>
        <v>0</v>
      </c>
      <c r="W407" s="101" t="str">
        <f t="shared" si="48"/>
        <v>Filled</v>
      </c>
    </row>
    <row r="408" spans="1:23" x14ac:dyDescent="0.25">
      <c r="A408" s="76" t="s">
        <v>843</v>
      </c>
      <c r="B408" s="76" t="s">
        <v>359</v>
      </c>
      <c r="C408" s="76" t="s">
        <v>828</v>
      </c>
      <c r="D408" s="97">
        <v>3</v>
      </c>
      <c r="E408" s="98" t="s">
        <v>325</v>
      </c>
      <c r="F408" s="78">
        <v>103000</v>
      </c>
      <c r="G408" s="97">
        <v>1</v>
      </c>
      <c r="H408" s="98" t="s">
        <v>399</v>
      </c>
      <c r="J408" s="99">
        <f>1+Assumptions!$B$11+INDEX(Assumptions!$B$12:$B$15,D408)*Assumptions!$B$16</f>
        <v>1.4</v>
      </c>
      <c r="K408" s="82">
        <f t="shared" si="42"/>
        <v>144200</v>
      </c>
      <c r="L408" s="100">
        <f>IF(E408="Yes",MAX(0,Assumptions!$B$8-G408+1),0)</f>
        <v>8</v>
      </c>
      <c r="M408" s="82">
        <f t="shared" si="43"/>
        <v>96133.333333333328</v>
      </c>
      <c r="N408" s="100">
        <f>MIN(1,SUMIFS(Roster!$N$5:$N$1504,Roster!$B$5:$B$1504,$A408))</f>
        <v>1</v>
      </c>
      <c r="O408" s="100">
        <f>SUMIFS(Roster!$L$5:$L$1504,Roster!$B$5:$B$1504,$A408)</f>
        <v>8</v>
      </c>
      <c r="P408" s="83">
        <f>SUMIFS(Roster!$M$5:$M$1504,Roster!$B$5:$B$1504,$A408)*J408</f>
        <v>97160</v>
      </c>
      <c r="Q408" s="83">
        <f>SUMIFS(Roster!$O$5:$O$1504,Roster!$B$5:$B$1504,$A408)*J408</f>
        <v>145740</v>
      </c>
      <c r="R408" s="82">
        <f t="shared" si="44"/>
        <v>145740</v>
      </c>
      <c r="S408" s="82">
        <f t="shared" si="45"/>
        <v>0</v>
      </c>
      <c r="T408" s="82">
        <f t="shared" si="46"/>
        <v>-1026.6666666666715</v>
      </c>
      <c r="U408" s="82">
        <f t="shared" si="47"/>
        <v>0</v>
      </c>
      <c r="V408" s="83">
        <f>IF(COUNTIFS(Roster!$B$5:$B$1504,$A408,Roster!$G$5:$G$1504,"&gt;0")=0,0,SUMIFS(Roster!$H$5:$H$1504,Roster!$B$5:$B$1504,$A408,Roster!$G$5:$G$1504,_xlfn.MAXIFS(Roster!$G$5:$G$1504,Roster!$B$5:$B$1504,$A408)))</f>
        <v>0</v>
      </c>
      <c r="W408" s="101" t="str">
        <f t="shared" si="48"/>
        <v>Filled</v>
      </c>
    </row>
    <row r="409" spans="1:23" x14ac:dyDescent="0.25">
      <c r="A409" s="76" t="s">
        <v>844</v>
      </c>
      <c r="B409" s="76" t="s">
        <v>359</v>
      </c>
      <c r="C409" s="76" t="s">
        <v>826</v>
      </c>
      <c r="D409" s="97">
        <v>2</v>
      </c>
      <c r="E409" s="98" t="s">
        <v>325</v>
      </c>
      <c r="F409" s="78">
        <v>80000</v>
      </c>
      <c r="G409" s="97">
        <v>1</v>
      </c>
      <c r="H409" s="98" t="s">
        <v>399</v>
      </c>
      <c r="J409" s="99">
        <f>1+Assumptions!$B$11+INDEX(Assumptions!$B$12:$B$15,D409)*Assumptions!$B$16</f>
        <v>1.35</v>
      </c>
      <c r="K409" s="82">
        <f t="shared" si="42"/>
        <v>108000</v>
      </c>
      <c r="L409" s="100">
        <f>IF(E409="Yes",MAX(0,Assumptions!$B$8-G409+1),0)</f>
        <v>8</v>
      </c>
      <c r="M409" s="82">
        <f t="shared" si="43"/>
        <v>72000</v>
      </c>
      <c r="N409" s="100">
        <f>MIN(1,SUMIFS(Roster!$N$5:$N$1504,Roster!$B$5:$B$1504,$A409))</f>
        <v>1</v>
      </c>
      <c r="O409" s="100">
        <f>SUMIFS(Roster!$L$5:$L$1504,Roster!$B$5:$B$1504,$A409)</f>
        <v>8</v>
      </c>
      <c r="P409" s="83">
        <f>SUMIFS(Roster!$M$5:$M$1504,Roster!$B$5:$B$1504,$A409)*J409</f>
        <v>72720</v>
      </c>
      <c r="Q409" s="83">
        <f>SUMIFS(Roster!$O$5:$O$1504,Roster!$B$5:$B$1504,$A409)*J409</f>
        <v>109080</v>
      </c>
      <c r="R409" s="82">
        <f t="shared" si="44"/>
        <v>109080</v>
      </c>
      <c r="S409" s="82">
        <f t="shared" si="45"/>
        <v>0</v>
      </c>
      <c r="T409" s="82">
        <f t="shared" si="46"/>
        <v>-720</v>
      </c>
      <c r="U409" s="82">
        <f t="shared" si="47"/>
        <v>0</v>
      </c>
      <c r="V409" s="83">
        <f>IF(COUNTIFS(Roster!$B$5:$B$1504,$A409,Roster!$G$5:$G$1504,"&gt;0")=0,0,SUMIFS(Roster!$H$5:$H$1504,Roster!$B$5:$B$1504,$A409,Roster!$G$5:$G$1504,_xlfn.MAXIFS(Roster!$G$5:$G$1504,Roster!$B$5:$B$1504,$A409)))</f>
        <v>0</v>
      </c>
      <c r="W409" s="101" t="str">
        <f t="shared" si="48"/>
        <v>Filled</v>
      </c>
    </row>
    <row r="410" spans="1:23" x14ac:dyDescent="0.25">
      <c r="A410" s="76" t="s">
        <v>845</v>
      </c>
      <c r="B410" s="76" t="s">
        <v>359</v>
      </c>
      <c r="C410" s="76" t="s">
        <v>830</v>
      </c>
      <c r="D410" s="97">
        <v>1</v>
      </c>
      <c r="E410" s="98" t="s">
        <v>325</v>
      </c>
      <c r="F410" s="78">
        <v>60500</v>
      </c>
      <c r="G410" s="97">
        <v>1</v>
      </c>
      <c r="H410" s="98" t="s">
        <v>399</v>
      </c>
      <c r="J410" s="99">
        <f>1+Assumptions!$B$11+INDEX(Assumptions!$B$12:$B$15,D410)*Assumptions!$B$16</f>
        <v>1.3</v>
      </c>
      <c r="K410" s="82">
        <f t="shared" si="42"/>
        <v>78650</v>
      </c>
      <c r="L410" s="100">
        <f>IF(E410="Yes",MAX(0,Assumptions!$B$8-G410+1),0)</f>
        <v>8</v>
      </c>
      <c r="M410" s="82">
        <f t="shared" si="43"/>
        <v>52433.333333333336</v>
      </c>
      <c r="N410" s="100">
        <f>MIN(1,SUMIFS(Roster!$N$5:$N$1504,Roster!$B$5:$B$1504,$A410))</f>
        <v>1</v>
      </c>
      <c r="O410" s="100">
        <f>SUMIFS(Roster!$L$5:$L$1504,Roster!$B$5:$B$1504,$A410)</f>
        <v>8</v>
      </c>
      <c r="P410" s="83">
        <f>SUMIFS(Roster!$M$5:$M$1504,Roster!$B$5:$B$1504,$A410)*J410</f>
        <v>52433.333333333336</v>
      </c>
      <c r="Q410" s="83">
        <f>SUMIFS(Roster!$O$5:$O$1504,Roster!$B$5:$B$1504,$A410)*J410</f>
        <v>78650</v>
      </c>
      <c r="R410" s="82">
        <f t="shared" si="44"/>
        <v>78650</v>
      </c>
      <c r="S410" s="82">
        <f t="shared" si="45"/>
        <v>0</v>
      </c>
      <c r="T410" s="82">
        <f t="shared" si="46"/>
        <v>0</v>
      </c>
      <c r="U410" s="82">
        <f t="shared" si="47"/>
        <v>0</v>
      </c>
      <c r="V410" s="83">
        <f>IF(COUNTIFS(Roster!$B$5:$B$1504,$A410,Roster!$G$5:$G$1504,"&gt;0")=0,0,SUMIFS(Roster!$H$5:$H$1504,Roster!$B$5:$B$1504,$A410,Roster!$G$5:$G$1504,_xlfn.MAXIFS(Roster!$G$5:$G$1504,Roster!$B$5:$B$1504,$A410)))</f>
        <v>0</v>
      </c>
      <c r="W410" s="101" t="str">
        <f t="shared" si="48"/>
        <v>Filled</v>
      </c>
    </row>
    <row r="411" spans="1:23" x14ac:dyDescent="0.25">
      <c r="A411" s="76" t="s">
        <v>846</v>
      </c>
      <c r="B411" s="76" t="s">
        <v>359</v>
      </c>
      <c r="C411" s="76" t="s">
        <v>826</v>
      </c>
      <c r="D411" s="97">
        <v>2</v>
      </c>
      <c r="E411" s="98" t="s">
        <v>325</v>
      </c>
      <c r="F411" s="78">
        <v>89000</v>
      </c>
      <c r="G411" s="97">
        <v>1</v>
      </c>
      <c r="H411" s="98" t="s">
        <v>399</v>
      </c>
      <c r="J411" s="99">
        <f>1+Assumptions!$B$11+INDEX(Assumptions!$B$12:$B$15,D411)*Assumptions!$B$16</f>
        <v>1.35</v>
      </c>
      <c r="K411" s="82">
        <f t="shared" si="42"/>
        <v>120150.00000000001</v>
      </c>
      <c r="L411" s="100">
        <f>IF(E411="Yes",MAX(0,Assumptions!$B$8-G411+1),0)</f>
        <v>8</v>
      </c>
      <c r="M411" s="82">
        <f t="shared" si="43"/>
        <v>80100.000000000015</v>
      </c>
      <c r="N411" s="100">
        <f>MIN(1,SUMIFS(Roster!$N$5:$N$1504,Roster!$B$5:$B$1504,$A411))</f>
        <v>1</v>
      </c>
      <c r="O411" s="100">
        <f>SUMIFS(Roster!$L$5:$L$1504,Roster!$B$5:$B$1504,$A411)</f>
        <v>8</v>
      </c>
      <c r="P411" s="83">
        <f>SUMIFS(Roster!$M$5:$M$1504,Roster!$B$5:$B$1504,$A411)*J411</f>
        <v>79290.000000000015</v>
      </c>
      <c r="Q411" s="83">
        <f>SUMIFS(Roster!$O$5:$O$1504,Roster!$B$5:$B$1504,$A411)*J411</f>
        <v>118935.00000000001</v>
      </c>
      <c r="R411" s="82">
        <f t="shared" si="44"/>
        <v>118935.00000000001</v>
      </c>
      <c r="S411" s="82">
        <f t="shared" si="45"/>
        <v>0</v>
      </c>
      <c r="T411" s="82">
        <f t="shared" si="46"/>
        <v>810</v>
      </c>
      <c r="U411" s="82">
        <f t="shared" si="47"/>
        <v>0</v>
      </c>
      <c r="V411" s="83">
        <f>IF(COUNTIFS(Roster!$B$5:$B$1504,$A411,Roster!$G$5:$G$1504,"&gt;0")=0,0,SUMIFS(Roster!$H$5:$H$1504,Roster!$B$5:$B$1504,$A411,Roster!$G$5:$G$1504,_xlfn.MAXIFS(Roster!$G$5:$G$1504,Roster!$B$5:$B$1504,$A411)))</f>
        <v>0</v>
      </c>
      <c r="W411" s="101" t="str">
        <f t="shared" si="48"/>
        <v>Filled</v>
      </c>
    </row>
    <row r="412" spans="1:23" x14ac:dyDescent="0.25">
      <c r="A412" s="76" t="s">
        <v>847</v>
      </c>
      <c r="B412" s="76" t="s">
        <v>359</v>
      </c>
      <c r="C412" s="76" t="s">
        <v>826</v>
      </c>
      <c r="D412" s="97">
        <v>2</v>
      </c>
      <c r="E412" s="98" t="s">
        <v>325</v>
      </c>
      <c r="F412" s="78">
        <v>83000</v>
      </c>
      <c r="G412" s="97">
        <v>1</v>
      </c>
      <c r="H412" s="98" t="s">
        <v>134</v>
      </c>
      <c r="I412" s="76" t="s">
        <v>848</v>
      </c>
      <c r="J412" s="99">
        <f>1+Assumptions!$B$11+INDEX(Assumptions!$B$12:$B$15,D412)*Assumptions!$B$16</f>
        <v>1.35</v>
      </c>
      <c r="K412" s="82">
        <f t="shared" si="42"/>
        <v>112050.00000000001</v>
      </c>
      <c r="L412" s="100">
        <f>IF(E412="Yes",MAX(0,Assumptions!$B$8-G412+1),0)</f>
        <v>8</v>
      </c>
      <c r="M412" s="82">
        <f t="shared" si="43"/>
        <v>74700.000000000015</v>
      </c>
      <c r="N412" s="100">
        <f>MIN(1,SUMIFS(Roster!$N$5:$N$1504,Roster!$B$5:$B$1504,$A412))</f>
        <v>0</v>
      </c>
      <c r="O412" s="100">
        <f>SUMIFS(Roster!$L$5:$L$1504,Roster!$B$5:$B$1504,$A412)</f>
        <v>7</v>
      </c>
      <c r="P412" s="83">
        <f>SUMIFS(Roster!$M$5:$M$1504,Roster!$B$5:$B$1504,$A412)*J412</f>
        <v>65362.5</v>
      </c>
      <c r="Q412" s="83">
        <f>SUMIFS(Roster!$O$5:$O$1504,Roster!$B$5:$B$1504,$A412)*J412</f>
        <v>0</v>
      </c>
      <c r="R412" s="82">
        <f t="shared" si="44"/>
        <v>0</v>
      </c>
      <c r="S412" s="82">
        <f t="shared" si="45"/>
        <v>9337.5000000000018</v>
      </c>
      <c r="T412" s="82">
        <f t="shared" si="46"/>
        <v>7.2759576141834259E-12</v>
      </c>
      <c r="U412" s="82">
        <f t="shared" si="47"/>
        <v>0</v>
      </c>
      <c r="V412" s="83">
        <f>IF(COUNTIFS(Roster!$B$5:$B$1504,$A412,Roster!$G$5:$G$1504,"&gt;0")=0,0,SUMIFS(Roster!$H$5:$H$1504,Roster!$B$5:$B$1504,$A412,Roster!$G$5:$G$1504,_xlfn.MAXIFS(Roster!$G$5:$G$1504,Roster!$B$5:$B$1504,$A412)))</f>
        <v>83000</v>
      </c>
      <c r="W412" s="101" t="str">
        <f t="shared" si="48"/>
        <v>Open: on hold</v>
      </c>
    </row>
    <row r="413" spans="1:23" x14ac:dyDescent="0.25">
      <c r="A413" s="76" t="s">
        <v>849</v>
      </c>
      <c r="B413" s="76" t="s">
        <v>359</v>
      </c>
      <c r="C413" s="76" t="s">
        <v>826</v>
      </c>
      <c r="D413" s="97">
        <v>2</v>
      </c>
      <c r="E413" s="98" t="s">
        <v>325</v>
      </c>
      <c r="F413" s="78">
        <v>88500</v>
      </c>
      <c r="G413" s="97">
        <v>1</v>
      </c>
      <c r="H413" s="98" t="s">
        <v>399</v>
      </c>
      <c r="J413" s="99">
        <f>1+Assumptions!$B$11+INDEX(Assumptions!$B$12:$B$15,D413)*Assumptions!$B$16</f>
        <v>1.35</v>
      </c>
      <c r="K413" s="82">
        <f t="shared" si="42"/>
        <v>119475.00000000001</v>
      </c>
      <c r="L413" s="100">
        <f>IF(E413="Yes",MAX(0,Assumptions!$B$8-G413+1),0)</f>
        <v>8</v>
      </c>
      <c r="M413" s="82">
        <f t="shared" si="43"/>
        <v>79650.000000000015</v>
      </c>
      <c r="N413" s="100">
        <f>MIN(1,SUMIFS(Roster!$N$5:$N$1504,Roster!$B$5:$B$1504,$A413))</f>
        <v>1</v>
      </c>
      <c r="O413" s="100">
        <f>SUMIFS(Roster!$L$5:$L$1504,Roster!$B$5:$B$1504,$A413)</f>
        <v>8</v>
      </c>
      <c r="P413" s="83">
        <f>SUMIFS(Roster!$M$5:$M$1504,Roster!$B$5:$B$1504,$A413)*J413</f>
        <v>79560.000000000015</v>
      </c>
      <c r="Q413" s="83">
        <f>SUMIFS(Roster!$O$5:$O$1504,Roster!$B$5:$B$1504,$A413)*J413</f>
        <v>119340.00000000001</v>
      </c>
      <c r="R413" s="82">
        <f t="shared" si="44"/>
        <v>119340.00000000001</v>
      </c>
      <c r="S413" s="82">
        <f t="shared" si="45"/>
        <v>0</v>
      </c>
      <c r="T413" s="82">
        <f t="shared" si="46"/>
        <v>90</v>
      </c>
      <c r="U413" s="82">
        <f t="shared" si="47"/>
        <v>0</v>
      </c>
      <c r="V413" s="83">
        <f>IF(COUNTIFS(Roster!$B$5:$B$1504,$A413,Roster!$G$5:$G$1504,"&gt;0")=0,0,SUMIFS(Roster!$H$5:$H$1504,Roster!$B$5:$B$1504,$A413,Roster!$G$5:$G$1504,_xlfn.MAXIFS(Roster!$G$5:$G$1504,Roster!$B$5:$B$1504,$A413)))</f>
        <v>0</v>
      </c>
      <c r="W413" s="101" t="str">
        <f t="shared" si="48"/>
        <v>Filled</v>
      </c>
    </row>
    <row r="414" spans="1:23" x14ac:dyDescent="0.25">
      <c r="A414" s="76" t="s">
        <v>850</v>
      </c>
      <c r="B414" s="76" t="s">
        <v>359</v>
      </c>
      <c r="C414" s="76" t="s">
        <v>828</v>
      </c>
      <c r="D414" s="97">
        <v>3</v>
      </c>
      <c r="E414" s="98" t="s">
        <v>325</v>
      </c>
      <c r="F414" s="78">
        <v>111500</v>
      </c>
      <c r="G414" s="97">
        <v>1</v>
      </c>
      <c r="H414" s="98" t="s">
        <v>399</v>
      </c>
      <c r="J414" s="99">
        <f>1+Assumptions!$B$11+INDEX(Assumptions!$B$12:$B$15,D414)*Assumptions!$B$16</f>
        <v>1.4</v>
      </c>
      <c r="K414" s="82">
        <f t="shared" si="42"/>
        <v>156100</v>
      </c>
      <c r="L414" s="100">
        <f>IF(E414="Yes",MAX(0,Assumptions!$B$8-G414+1),0)</f>
        <v>8</v>
      </c>
      <c r="M414" s="82">
        <f t="shared" si="43"/>
        <v>104066.66666666667</v>
      </c>
      <c r="N414" s="100">
        <f>MIN(1,SUMIFS(Roster!$N$5:$N$1504,Roster!$B$5:$B$1504,$A414))</f>
        <v>1</v>
      </c>
      <c r="O414" s="100">
        <f>SUMIFS(Roster!$L$5:$L$1504,Roster!$B$5:$B$1504,$A414)</f>
        <v>8</v>
      </c>
      <c r="P414" s="83">
        <f>SUMIFS(Roster!$M$5:$M$1504,Roster!$B$5:$B$1504,$A414)*J414</f>
        <v>104253.33333333333</v>
      </c>
      <c r="Q414" s="83">
        <f>SUMIFS(Roster!$O$5:$O$1504,Roster!$B$5:$B$1504,$A414)*J414</f>
        <v>156380</v>
      </c>
      <c r="R414" s="82">
        <f t="shared" si="44"/>
        <v>156380</v>
      </c>
      <c r="S414" s="82">
        <f t="shared" si="45"/>
        <v>0</v>
      </c>
      <c r="T414" s="82">
        <f t="shared" si="46"/>
        <v>-186.66666666665697</v>
      </c>
      <c r="U414" s="82">
        <f t="shared" si="47"/>
        <v>0</v>
      </c>
      <c r="V414" s="83">
        <f>IF(COUNTIFS(Roster!$B$5:$B$1504,$A414,Roster!$G$5:$G$1504,"&gt;0")=0,0,SUMIFS(Roster!$H$5:$H$1504,Roster!$B$5:$B$1504,$A414,Roster!$G$5:$G$1504,_xlfn.MAXIFS(Roster!$G$5:$G$1504,Roster!$B$5:$B$1504,$A414)))</f>
        <v>0</v>
      </c>
      <c r="W414" s="101" t="str">
        <f t="shared" si="48"/>
        <v>Filled</v>
      </c>
    </row>
    <row r="415" spans="1:23" x14ac:dyDescent="0.25">
      <c r="A415" s="76" t="s">
        <v>851</v>
      </c>
      <c r="B415" s="76" t="s">
        <v>359</v>
      </c>
      <c r="C415" s="76" t="s">
        <v>830</v>
      </c>
      <c r="D415" s="97">
        <v>1</v>
      </c>
      <c r="E415" s="98" t="s">
        <v>325</v>
      </c>
      <c r="F415" s="78">
        <v>54000</v>
      </c>
      <c r="G415" s="97">
        <v>1</v>
      </c>
      <c r="H415" s="98" t="s">
        <v>399</v>
      </c>
      <c r="J415" s="99">
        <f>1+Assumptions!$B$11+INDEX(Assumptions!$B$12:$B$15,D415)*Assumptions!$B$16</f>
        <v>1.3</v>
      </c>
      <c r="K415" s="82">
        <f t="shared" si="42"/>
        <v>70200</v>
      </c>
      <c r="L415" s="100">
        <f>IF(E415="Yes",MAX(0,Assumptions!$B$8-G415+1),0)</f>
        <v>8</v>
      </c>
      <c r="M415" s="82">
        <f t="shared" si="43"/>
        <v>46800</v>
      </c>
      <c r="N415" s="100">
        <f>MIN(1,SUMIFS(Roster!$N$5:$N$1504,Roster!$B$5:$B$1504,$A415))</f>
        <v>1</v>
      </c>
      <c r="O415" s="100">
        <f>SUMIFS(Roster!$L$5:$L$1504,Roster!$B$5:$B$1504,$A415)</f>
        <v>8</v>
      </c>
      <c r="P415" s="83">
        <f>SUMIFS(Roster!$M$5:$M$1504,Roster!$B$5:$B$1504,$A415)*J415</f>
        <v>46453.333333333336</v>
      </c>
      <c r="Q415" s="83">
        <f>SUMIFS(Roster!$O$5:$O$1504,Roster!$B$5:$B$1504,$A415)*J415</f>
        <v>69680</v>
      </c>
      <c r="R415" s="82">
        <f t="shared" si="44"/>
        <v>69680</v>
      </c>
      <c r="S415" s="82">
        <f t="shared" si="45"/>
        <v>0</v>
      </c>
      <c r="T415" s="82">
        <f t="shared" si="46"/>
        <v>346.66666666666424</v>
      </c>
      <c r="U415" s="82">
        <f t="shared" si="47"/>
        <v>0</v>
      </c>
      <c r="V415" s="83">
        <f>IF(COUNTIFS(Roster!$B$5:$B$1504,$A415,Roster!$G$5:$G$1504,"&gt;0")=0,0,SUMIFS(Roster!$H$5:$H$1504,Roster!$B$5:$B$1504,$A415,Roster!$G$5:$G$1504,_xlfn.MAXIFS(Roster!$G$5:$G$1504,Roster!$B$5:$B$1504,$A415)))</f>
        <v>0</v>
      </c>
      <c r="W415" s="101" t="str">
        <f t="shared" si="48"/>
        <v>Filled</v>
      </c>
    </row>
    <row r="416" spans="1:23" x14ac:dyDescent="0.25">
      <c r="A416" s="76" t="s">
        <v>852</v>
      </c>
      <c r="B416" s="76" t="s">
        <v>359</v>
      </c>
      <c r="C416" s="76" t="s">
        <v>830</v>
      </c>
      <c r="D416" s="97">
        <v>1</v>
      </c>
      <c r="E416" s="98" t="s">
        <v>325</v>
      </c>
      <c r="F416" s="78">
        <v>60000</v>
      </c>
      <c r="G416" s="97">
        <v>1</v>
      </c>
      <c r="H416" s="98" t="s">
        <v>399</v>
      </c>
      <c r="J416" s="99">
        <f>1+Assumptions!$B$11+INDEX(Assumptions!$B$12:$B$15,D416)*Assumptions!$B$16</f>
        <v>1.3</v>
      </c>
      <c r="K416" s="82">
        <f t="shared" si="42"/>
        <v>78000</v>
      </c>
      <c r="L416" s="100">
        <f>IF(E416="Yes",MAX(0,Assumptions!$B$8-G416+1),0)</f>
        <v>8</v>
      </c>
      <c r="M416" s="82">
        <f t="shared" si="43"/>
        <v>52000</v>
      </c>
      <c r="N416" s="100">
        <f>MIN(1,SUMIFS(Roster!$N$5:$N$1504,Roster!$B$5:$B$1504,$A416))</f>
        <v>1</v>
      </c>
      <c r="O416" s="100">
        <f>SUMIFS(Roster!$L$5:$L$1504,Roster!$B$5:$B$1504,$A416)</f>
        <v>8</v>
      </c>
      <c r="P416" s="83">
        <f>SUMIFS(Roster!$M$5:$M$1504,Roster!$B$5:$B$1504,$A416)*J416</f>
        <v>52346.666666666664</v>
      </c>
      <c r="Q416" s="83">
        <f>SUMIFS(Roster!$O$5:$O$1504,Roster!$B$5:$B$1504,$A416)*J416</f>
        <v>78520</v>
      </c>
      <c r="R416" s="82">
        <f t="shared" si="44"/>
        <v>78520</v>
      </c>
      <c r="S416" s="82">
        <f t="shared" si="45"/>
        <v>0</v>
      </c>
      <c r="T416" s="82">
        <f t="shared" si="46"/>
        <v>-346.66666666666424</v>
      </c>
      <c r="U416" s="82">
        <f t="shared" si="47"/>
        <v>0</v>
      </c>
      <c r="V416" s="83">
        <f>IF(COUNTIFS(Roster!$B$5:$B$1504,$A416,Roster!$G$5:$G$1504,"&gt;0")=0,0,SUMIFS(Roster!$H$5:$H$1504,Roster!$B$5:$B$1504,$A416,Roster!$G$5:$G$1504,_xlfn.MAXIFS(Roster!$G$5:$G$1504,Roster!$B$5:$B$1504,$A416)))</f>
        <v>0</v>
      </c>
      <c r="W416" s="101" t="str">
        <f t="shared" si="48"/>
        <v>Filled</v>
      </c>
    </row>
    <row r="417" spans="1:23" x14ac:dyDescent="0.25">
      <c r="A417" s="76" t="s">
        <v>853</v>
      </c>
      <c r="B417" s="76" t="s">
        <v>359</v>
      </c>
      <c r="C417" s="76" t="s">
        <v>826</v>
      </c>
      <c r="D417" s="97">
        <v>2</v>
      </c>
      <c r="E417" s="98" t="s">
        <v>325</v>
      </c>
      <c r="F417" s="78">
        <v>73500</v>
      </c>
      <c r="G417" s="97">
        <v>1</v>
      </c>
      <c r="H417" s="98" t="s">
        <v>399</v>
      </c>
      <c r="J417" s="99">
        <f>1+Assumptions!$B$11+INDEX(Assumptions!$B$12:$B$15,D417)*Assumptions!$B$16</f>
        <v>1.35</v>
      </c>
      <c r="K417" s="82">
        <f t="shared" si="42"/>
        <v>99225</v>
      </c>
      <c r="L417" s="100">
        <f>IF(E417="Yes",MAX(0,Assumptions!$B$8-G417+1),0)</f>
        <v>8</v>
      </c>
      <c r="M417" s="82">
        <f t="shared" si="43"/>
        <v>66150</v>
      </c>
      <c r="N417" s="100">
        <f>MIN(1,SUMIFS(Roster!$N$5:$N$1504,Roster!$B$5:$B$1504,$A417))</f>
        <v>1</v>
      </c>
      <c r="O417" s="100">
        <f>SUMIFS(Roster!$L$5:$L$1504,Roster!$B$5:$B$1504,$A417)</f>
        <v>8</v>
      </c>
      <c r="P417" s="83">
        <f>SUMIFS(Roster!$M$5:$M$1504,Roster!$B$5:$B$1504,$A417)*J417</f>
        <v>66780</v>
      </c>
      <c r="Q417" s="83">
        <f>SUMIFS(Roster!$O$5:$O$1504,Roster!$B$5:$B$1504,$A417)*J417</f>
        <v>100170</v>
      </c>
      <c r="R417" s="82">
        <f t="shared" si="44"/>
        <v>100170</v>
      </c>
      <c r="S417" s="82">
        <f t="shared" si="45"/>
        <v>0</v>
      </c>
      <c r="T417" s="82">
        <f t="shared" si="46"/>
        <v>-630</v>
      </c>
      <c r="U417" s="82">
        <f t="shared" si="47"/>
        <v>0</v>
      </c>
      <c r="V417" s="83">
        <f>IF(COUNTIFS(Roster!$B$5:$B$1504,$A417,Roster!$G$5:$G$1504,"&gt;0")=0,0,SUMIFS(Roster!$H$5:$H$1504,Roster!$B$5:$B$1504,$A417,Roster!$G$5:$G$1504,_xlfn.MAXIFS(Roster!$G$5:$G$1504,Roster!$B$5:$B$1504,$A417)))</f>
        <v>0</v>
      </c>
      <c r="W417" s="101" t="str">
        <f t="shared" si="48"/>
        <v>Filled</v>
      </c>
    </row>
    <row r="418" spans="1:23" x14ac:dyDescent="0.25">
      <c r="A418" s="76" t="s">
        <v>854</v>
      </c>
      <c r="B418" s="76" t="s">
        <v>359</v>
      </c>
      <c r="C418" s="76" t="s">
        <v>826</v>
      </c>
      <c r="D418" s="97">
        <v>2</v>
      </c>
      <c r="E418" s="98" t="s">
        <v>325</v>
      </c>
      <c r="F418" s="78">
        <v>87500</v>
      </c>
      <c r="G418" s="97">
        <v>1</v>
      </c>
      <c r="H418" s="98" t="s">
        <v>399</v>
      </c>
      <c r="J418" s="99">
        <f>1+Assumptions!$B$11+INDEX(Assumptions!$B$12:$B$15,D418)*Assumptions!$B$16</f>
        <v>1.35</v>
      </c>
      <c r="K418" s="82">
        <f t="shared" si="42"/>
        <v>118125.00000000001</v>
      </c>
      <c r="L418" s="100">
        <f>IF(E418="Yes",MAX(0,Assumptions!$B$8-G418+1),0)</f>
        <v>8</v>
      </c>
      <c r="M418" s="82">
        <f t="shared" si="43"/>
        <v>78750.000000000015</v>
      </c>
      <c r="N418" s="100">
        <f>MIN(1,SUMIFS(Roster!$N$5:$N$1504,Roster!$B$5:$B$1504,$A418))</f>
        <v>1</v>
      </c>
      <c r="O418" s="100">
        <f>SUMIFS(Roster!$L$5:$L$1504,Roster!$B$5:$B$1504,$A418)</f>
        <v>8</v>
      </c>
      <c r="P418" s="83">
        <f>SUMIFS(Roster!$M$5:$M$1504,Roster!$B$5:$B$1504,$A418)*J418</f>
        <v>78840</v>
      </c>
      <c r="Q418" s="83">
        <f>SUMIFS(Roster!$O$5:$O$1504,Roster!$B$5:$B$1504,$A418)*J418</f>
        <v>118260.00000000001</v>
      </c>
      <c r="R418" s="82">
        <f t="shared" si="44"/>
        <v>118260.00000000001</v>
      </c>
      <c r="S418" s="82">
        <f t="shared" si="45"/>
        <v>0</v>
      </c>
      <c r="T418" s="82">
        <f t="shared" si="46"/>
        <v>-89.999999999985448</v>
      </c>
      <c r="U418" s="82">
        <f t="shared" si="47"/>
        <v>0</v>
      </c>
      <c r="V418" s="83">
        <f>IF(COUNTIFS(Roster!$B$5:$B$1504,$A418,Roster!$G$5:$G$1504,"&gt;0")=0,0,SUMIFS(Roster!$H$5:$H$1504,Roster!$B$5:$B$1504,$A418,Roster!$G$5:$G$1504,_xlfn.MAXIFS(Roster!$G$5:$G$1504,Roster!$B$5:$B$1504,$A418)))</f>
        <v>0</v>
      </c>
      <c r="W418" s="101" t="str">
        <f t="shared" si="48"/>
        <v>Filled</v>
      </c>
    </row>
    <row r="419" spans="1:23" x14ac:dyDescent="0.25">
      <c r="A419" s="76" t="s">
        <v>855</v>
      </c>
      <c r="B419" s="76" t="s">
        <v>359</v>
      </c>
      <c r="C419" s="76" t="s">
        <v>830</v>
      </c>
      <c r="D419" s="97">
        <v>1</v>
      </c>
      <c r="E419" s="98" t="s">
        <v>325</v>
      </c>
      <c r="F419" s="78">
        <v>56000</v>
      </c>
      <c r="G419" s="97">
        <v>1</v>
      </c>
      <c r="H419" s="98" t="s">
        <v>399</v>
      </c>
      <c r="J419" s="99">
        <f>1+Assumptions!$B$11+INDEX(Assumptions!$B$12:$B$15,D419)*Assumptions!$B$16</f>
        <v>1.3</v>
      </c>
      <c r="K419" s="82">
        <f t="shared" si="42"/>
        <v>72800</v>
      </c>
      <c r="L419" s="100">
        <f>IF(E419="Yes",MAX(0,Assumptions!$B$8-G419+1),0)</f>
        <v>8</v>
      </c>
      <c r="M419" s="82">
        <f t="shared" si="43"/>
        <v>48533.333333333336</v>
      </c>
      <c r="N419" s="100">
        <f>MIN(1,SUMIFS(Roster!$N$5:$N$1504,Roster!$B$5:$B$1504,$A419))</f>
        <v>1</v>
      </c>
      <c r="O419" s="100">
        <f>SUMIFS(Roster!$L$5:$L$1504,Roster!$B$5:$B$1504,$A419)</f>
        <v>8</v>
      </c>
      <c r="P419" s="83">
        <f>SUMIFS(Roster!$M$5:$M$1504,Roster!$B$5:$B$1504,$A419)*J419</f>
        <v>48793.333333333336</v>
      </c>
      <c r="Q419" s="83">
        <f>SUMIFS(Roster!$O$5:$O$1504,Roster!$B$5:$B$1504,$A419)*J419</f>
        <v>73190</v>
      </c>
      <c r="R419" s="82">
        <f t="shared" si="44"/>
        <v>73190</v>
      </c>
      <c r="S419" s="82">
        <f t="shared" si="45"/>
        <v>0</v>
      </c>
      <c r="T419" s="82">
        <f t="shared" si="46"/>
        <v>-260</v>
      </c>
      <c r="U419" s="82">
        <f t="shared" si="47"/>
        <v>0</v>
      </c>
      <c r="V419" s="83">
        <f>IF(COUNTIFS(Roster!$B$5:$B$1504,$A419,Roster!$G$5:$G$1504,"&gt;0")=0,0,SUMIFS(Roster!$H$5:$H$1504,Roster!$B$5:$B$1504,$A419,Roster!$G$5:$G$1504,_xlfn.MAXIFS(Roster!$G$5:$G$1504,Roster!$B$5:$B$1504,$A419)))</f>
        <v>0</v>
      </c>
      <c r="W419" s="101" t="str">
        <f t="shared" si="48"/>
        <v>Filled</v>
      </c>
    </row>
    <row r="420" spans="1:23" x14ac:dyDescent="0.25">
      <c r="A420" s="76" t="s">
        <v>856</v>
      </c>
      <c r="B420" s="76" t="s">
        <v>359</v>
      </c>
      <c r="C420" s="76" t="s">
        <v>830</v>
      </c>
      <c r="D420" s="97">
        <v>1</v>
      </c>
      <c r="E420" s="98" t="s">
        <v>325</v>
      </c>
      <c r="F420" s="78">
        <v>53500</v>
      </c>
      <c r="G420" s="97">
        <v>1</v>
      </c>
      <c r="H420" s="98" t="s">
        <v>399</v>
      </c>
      <c r="J420" s="99">
        <f>1+Assumptions!$B$11+INDEX(Assumptions!$B$12:$B$15,D420)*Assumptions!$B$16</f>
        <v>1.3</v>
      </c>
      <c r="K420" s="82">
        <f t="shared" si="42"/>
        <v>69550</v>
      </c>
      <c r="L420" s="100">
        <f>IF(E420="Yes",MAX(0,Assumptions!$B$8-G420+1),0)</f>
        <v>8</v>
      </c>
      <c r="M420" s="82">
        <f t="shared" si="43"/>
        <v>46366.666666666664</v>
      </c>
      <c r="N420" s="100">
        <f>MIN(1,SUMIFS(Roster!$N$5:$N$1504,Roster!$B$5:$B$1504,$A420))</f>
        <v>1</v>
      </c>
      <c r="O420" s="100">
        <f>SUMIFS(Roster!$L$5:$L$1504,Roster!$B$5:$B$1504,$A420)</f>
        <v>8</v>
      </c>
      <c r="P420" s="83">
        <f>SUMIFS(Roster!$M$5:$M$1504,Roster!$B$5:$B$1504,$A420)*J420</f>
        <v>46540</v>
      </c>
      <c r="Q420" s="83">
        <f>SUMIFS(Roster!$O$5:$O$1504,Roster!$B$5:$B$1504,$A420)*J420</f>
        <v>69810</v>
      </c>
      <c r="R420" s="82">
        <f t="shared" si="44"/>
        <v>69810</v>
      </c>
      <c r="S420" s="82">
        <f t="shared" si="45"/>
        <v>0</v>
      </c>
      <c r="T420" s="82">
        <f t="shared" si="46"/>
        <v>-173.33333333333576</v>
      </c>
      <c r="U420" s="82">
        <f t="shared" si="47"/>
        <v>0</v>
      </c>
      <c r="V420" s="83">
        <f>IF(COUNTIFS(Roster!$B$5:$B$1504,$A420,Roster!$G$5:$G$1504,"&gt;0")=0,0,SUMIFS(Roster!$H$5:$H$1504,Roster!$B$5:$B$1504,$A420,Roster!$G$5:$G$1504,_xlfn.MAXIFS(Roster!$G$5:$G$1504,Roster!$B$5:$B$1504,$A420)))</f>
        <v>0</v>
      </c>
      <c r="W420" s="101" t="str">
        <f t="shared" si="48"/>
        <v>Filled</v>
      </c>
    </row>
    <row r="421" spans="1:23" x14ac:dyDescent="0.25">
      <c r="A421" s="76" t="s">
        <v>857</v>
      </c>
      <c r="B421" s="76" t="s">
        <v>359</v>
      </c>
      <c r="C421" s="76" t="s">
        <v>830</v>
      </c>
      <c r="D421" s="97">
        <v>1</v>
      </c>
      <c r="E421" s="98" t="s">
        <v>325</v>
      </c>
      <c r="F421" s="78">
        <v>55000</v>
      </c>
      <c r="G421" s="97">
        <v>1</v>
      </c>
      <c r="H421" s="98" t="s">
        <v>399</v>
      </c>
      <c r="J421" s="99">
        <f>1+Assumptions!$B$11+INDEX(Assumptions!$B$12:$B$15,D421)*Assumptions!$B$16</f>
        <v>1.3</v>
      </c>
      <c r="K421" s="82">
        <f t="shared" si="42"/>
        <v>71500</v>
      </c>
      <c r="L421" s="100">
        <f>IF(E421="Yes",MAX(0,Assumptions!$B$8-G421+1),0)</f>
        <v>8</v>
      </c>
      <c r="M421" s="82">
        <f t="shared" si="43"/>
        <v>47666.666666666664</v>
      </c>
      <c r="N421" s="100">
        <f>MIN(1,SUMIFS(Roster!$N$5:$N$1504,Roster!$B$5:$B$1504,$A421))</f>
        <v>1</v>
      </c>
      <c r="O421" s="100">
        <f>SUMIFS(Roster!$L$5:$L$1504,Roster!$B$5:$B$1504,$A421)</f>
        <v>8</v>
      </c>
      <c r="P421" s="83">
        <f>SUMIFS(Roster!$M$5:$M$1504,Roster!$B$5:$B$1504,$A421)*J421</f>
        <v>48186.666666666664</v>
      </c>
      <c r="Q421" s="83">
        <f>SUMIFS(Roster!$O$5:$O$1504,Roster!$B$5:$B$1504,$A421)*J421</f>
        <v>72280</v>
      </c>
      <c r="R421" s="82">
        <f t="shared" si="44"/>
        <v>72280</v>
      </c>
      <c r="S421" s="82">
        <f t="shared" si="45"/>
        <v>0</v>
      </c>
      <c r="T421" s="82">
        <f t="shared" si="46"/>
        <v>-520</v>
      </c>
      <c r="U421" s="82">
        <f t="shared" si="47"/>
        <v>0</v>
      </c>
      <c r="V421" s="83">
        <f>IF(COUNTIFS(Roster!$B$5:$B$1504,$A421,Roster!$G$5:$G$1504,"&gt;0")=0,0,SUMIFS(Roster!$H$5:$H$1504,Roster!$B$5:$B$1504,$A421,Roster!$G$5:$G$1504,_xlfn.MAXIFS(Roster!$G$5:$G$1504,Roster!$B$5:$B$1504,$A421)))</f>
        <v>0</v>
      </c>
      <c r="W421" s="101" t="str">
        <f t="shared" si="48"/>
        <v>Filled</v>
      </c>
    </row>
    <row r="422" spans="1:23" x14ac:dyDescent="0.25">
      <c r="A422" s="76" t="s">
        <v>858</v>
      </c>
      <c r="B422" s="76" t="s">
        <v>359</v>
      </c>
      <c r="C422" s="76" t="s">
        <v>826</v>
      </c>
      <c r="D422" s="97">
        <v>2</v>
      </c>
      <c r="E422" s="98" t="s">
        <v>325</v>
      </c>
      <c r="F422" s="78">
        <v>75500</v>
      </c>
      <c r="G422" s="97">
        <v>1</v>
      </c>
      <c r="H422" s="98" t="s">
        <v>399</v>
      </c>
      <c r="J422" s="99">
        <f>1+Assumptions!$B$11+INDEX(Assumptions!$B$12:$B$15,D422)*Assumptions!$B$16</f>
        <v>1.35</v>
      </c>
      <c r="K422" s="82">
        <f t="shared" si="42"/>
        <v>101925</v>
      </c>
      <c r="L422" s="100">
        <f>IF(E422="Yes",MAX(0,Assumptions!$B$8-G422+1),0)</f>
        <v>8</v>
      </c>
      <c r="M422" s="82">
        <f t="shared" si="43"/>
        <v>67950</v>
      </c>
      <c r="N422" s="100">
        <f>MIN(1,SUMIFS(Roster!$N$5:$N$1504,Roster!$B$5:$B$1504,$A422))</f>
        <v>1</v>
      </c>
      <c r="O422" s="100">
        <f>SUMIFS(Roster!$L$5:$L$1504,Roster!$B$5:$B$1504,$A422)</f>
        <v>8</v>
      </c>
      <c r="P422" s="83">
        <f>SUMIFS(Roster!$M$5:$M$1504,Roster!$B$5:$B$1504,$A422)*J422</f>
        <v>68130</v>
      </c>
      <c r="Q422" s="83">
        <f>SUMIFS(Roster!$O$5:$O$1504,Roster!$B$5:$B$1504,$A422)*J422</f>
        <v>102195</v>
      </c>
      <c r="R422" s="82">
        <f t="shared" si="44"/>
        <v>102195</v>
      </c>
      <c r="S422" s="82">
        <f t="shared" si="45"/>
        <v>0</v>
      </c>
      <c r="T422" s="82">
        <f t="shared" si="46"/>
        <v>-180</v>
      </c>
      <c r="U422" s="82">
        <f t="shared" si="47"/>
        <v>0</v>
      </c>
      <c r="V422" s="83">
        <f>IF(COUNTIFS(Roster!$B$5:$B$1504,$A422,Roster!$G$5:$G$1504,"&gt;0")=0,0,SUMIFS(Roster!$H$5:$H$1504,Roster!$B$5:$B$1504,$A422,Roster!$G$5:$G$1504,_xlfn.MAXIFS(Roster!$G$5:$G$1504,Roster!$B$5:$B$1504,$A422)))</f>
        <v>0</v>
      </c>
      <c r="W422" s="101" t="str">
        <f t="shared" si="48"/>
        <v>Filled</v>
      </c>
    </row>
    <row r="423" spans="1:23" x14ac:dyDescent="0.25">
      <c r="A423" s="76" t="s">
        <v>859</v>
      </c>
      <c r="B423" s="76" t="s">
        <v>359</v>
      </c>
      <c r="C423" s="76" t="s">
        <v>828</v>
      </c>
      <c r="D423" s="97">
        <v>3</v>
      </c>
      <c r="E423" s="98" t="s">
        <v>325</v>
      </c>
      <c r="F423" s="78">
        <v>122500</v>
      </c>
      <c r="G423" s="97">
        <v>1</v>
      </c>
      <c r="H423" s="98" t="s">
        <v>399</v>
      </c>
      <c r="J423" s="99">
        <f>1+Assumptions!$B$11+INDEX(Assumptions!$B$12:$B$15,D423)*Assumptions!$B$16</f>
        <v>1.4</v>
      </c>
      <c r="K423" s="82">
        <f t="shared" si="42"/>
        <v>171500</v>
      </c>
      <c r="L423" s="100">
        <f>IF(E423="Yes",MAX(0,Assumptions!$B$8-G423+1),0)</f>
        <v>8</v>
      </c>
      <c r="M423" s="82">
        <f t="shared" si="43"/>
        <v>114333.33333333333</v>
      </c>
      <c r="N423" s="100">
        <f>MIN(1,SUMIFS(Roster!$N$5:$N$1504,Roster!$B$5:$B$1504,$A423))</f>
        <v>1</v>
      </c>
      <c r="O423" s="100">
        <f>SUMIFS(Roster!$L$5:$L$1504,Roster!$B$5:$B$1504,$A423)</f>
        <v>8</v>
      </c>
      <c r="P423" s="83">
        <f>SUMIFS(Roster!$M$5:$M$1504,Roster!$B$5:$B$1504,$A423)*J423</f>
        <v>115359.99999999999</v>
      </c>
      <c r="Q423" s="83">
        <f>SUMIFS(Roster!$O$5:$O$1504,Roster!$B$5:$B$1504,$A423)*J423</f>
        <v>173040</v>
      </c>
      <c r="R423" s="82">
        <f t="shared" si="44"/>
        <v>173040</v>
      </c>
      <c r="S423" s="82">
        <f t="shared" si="45"/>
        <v>0</v>
      </c>
      <c r="T423" s="82">
        <f t="shared" si="46"/>
        <v>-1026.666666666657</v>
      </c>
      <c r="U423" s="82">
        <f t="shared" si="47"/>
        <v>0</v>
      </c>
      <c r="V423" s="83">
        <f>IF(COUNTIFS(Roster!$B$5:$B$1504,$A423,Roster!$G$5:$G$1504,"&gt;0")=0,0,SUMIFS(Roster!$H$5:$H$1504,Roster!$B$5:$B$1504,$A423,Roster!$G$5:$G$1504,_xlfn.MAXIFS(Roster!$G$5:$G$1504,Roster!$B$5:$B$1504,$A423)))</f>
        <v>0</v>
      </c>
      <c r="W423" s="101" t="str">
        <f t="shared" si="48"/>
        <v>Filled</v>
      </c>
    </row>
    <row r="424" spans="1:23" x14ac:dyDescent="0.25">
      <c r="A424" s="76" t="s">
        <v>860</v>
      </c>
      <c r="B424" s="76" t="s">
        <v>359</v>
      </c>
      <c r="C424" s="76" t="s">
        <v>830</v>
      </c>
      <c r="D424" s="97">
        <v>1</v>
      </c>
      <c r="E424" s="98" t="s">
        <v>325</v>
      </c>
      <c r="F424" s="78">
        <v>53500</v>
      </c>
      <c r="G424" s="97">
        <v>1</v>
      </c>
      <c r="H424" s="98" t="s">
        <v>399</v>
      </c>
      <c r="J424" s="99">
        <f>1+Assumptions!$B$11+INDEX(Assumptions!$B$12:$B$15,D424)*Assumptions!$B$16</f>
        <v>1.3</v>
      </c>
      <c r="K424" s="82">
        <f t="shared" si="42"/>
        <v>69550</v>
      </c>
      <c r="L424" s="100">
        <f>IF(E424="Yes",MAX(0,Assumptions!$B$8-G424+1),0)</f>
        <v>8</v>
      </c>
      <c r="M424" s="82">
        <f t="shared" si="43"/>
        <v>46366.666666666664</v>
      </c>
      <c r="N424" s="100">
        <f>MIN(1,SUMIFS(Roster!$N$5:$N$1504,Roster!$B$5:$B$1504,$A424))</f>
        <v>1</v>
      </c>
      <c r="O424" s="100">
        <f>SUMIFS(Roster!$L$5:$L$1504,Roster!$B$5:$B$1504,$A424)</f>
        <v>8</v>
      </c>
      <c r="P424" s="83">
        <f>SUMIFS(Roster!$M$5:$M$1504,Roster!$B$5:$B$1504,$A424)*J424</f>
        <v>45760</v>
      </c>
      <c r="Q424" s="83">
        <f>SUMIFS(Roster!$O$5:$O$1504,Roster!$B$5:$B$1504,$A424)*J424</f>
        <v>68640</v>
      </c>
      <c r="R424" s="82">
        <f t="shared" si="44"/>
        <v>68640</v>
      </c>
      <c r="S424" s="82">
        <f t="shared" si="45"/>
        <v>0</v>
      </c>
      <c r="T424" s="82">
        <f t="shared" si="46"/>
        <v>606.66666666666424</v>
      </c>
      <c r="U424" s="82">
        <f t="shared" si="47"/>
        <v>0</v>
      </c>
      <c r="V424" s="83">
        <f>IF(COUNTIFS(Roster!$B$5:$B$1504,$A424,Roster!$G$5:$G$1504,"&gt;0")=0,0,SUMIFS(Roster!$H$5:$H$1504,Roster!$B$5:$B$1504,$A424,Roster!$G$5:$G$1504,_xlfn.MAXIFS(Roster!$G$5:$G$1504,Roster!$B$5:$B$1504,$A424)))</f>
        <v>0</v>
      </c>
      <c r="W424" s="101" t="str">
        <f t="shared" si="48"/>
        <v>Filled</v>
      </c>
    </row>
    <row r="425" spans="1:23" x14ac:dyDescent="0.25">
      <c r="A425" s="76" t="s">
        <v>861</v>
      </c>
      <c r="B425" s="76" t="s">
        <v>359</v>
      </c>
      <c r="C425" s="76" t="s">
        <v>826</v>
      </c>
      <c r="D425" s="97">
        <v>2</v>
      </c>
      <c r="E425" s="98" t="s">
        <v>325</v>
      </c>
      <c r="F425" s="78">
        <v>92000</v>
      </c>
      <c r="G425" s="97">
        <v>1</v>
      </c>
      <c r="H425" s="98" t="s">
        <v>399</v>
      </c>
      <c r="J425" s="99">
        <f>1+Assumptions!$B$11+INDEX(Assumptions!$B$12:$B$15,D425)*Assumptions!$B$16</f>
        <v>1.35</v>
      </c>
      <c r="K425" s="82">
        <f t="shared" si="42"/>
        <v>124200.00000000001</v>
      </c>
      <c r="L425" s="100">
        <f>IF(E425="Yes",MAX(0,Assumptions!$B$8-G425+1),0)</f>
        <v>8</v>
      </c>
      <c r="M425" s="82">
        <f t="shared" si="43"/>
        <v>82800.000000000015</v>
      </c>
      <c r="N425" s="100">
        <f>MIN(1,SUMIFS(Roster!$N$5:$N$1504,Roster!$B$5:$B$1504,$A425))</f>
        <v>1</v>
      </c>
      <c r="O425" s="100">
        <f>SUMIFS(Roster!$L$5:$L$1504,Roster!$B$5:$B$1504,$A425)</f>
        <v>8</v>
      </c>
      <c r="P425" s="83">
        <f>SUMIFS(Roster!$M$5:$M$1504,Roster!$B$5:$B$1504,$A425)*J425</f>
        <v>83430</v>
      </c>
      <c r="Q425" s="83">
        <f>SUMIFS(Roster!$O$5:$O$1504,Roster!$B$5:$B$1504,$A425)*J425</f>
        <v>125145.00000000001</v>
      </c>
      <c r="R425" s="82">
        <f t="shared" si="44"/>
        <v>125145.00000000001</v>
      </c>
      <c r="S425" s="82">
        <f t="shared" si="45"/>
        <v>0</v>
      </c>
      <c r="T425" s="82">
        <f t="shared" si="46"/>
        <v>-629.99999999998545</v>
      </c>
      <c r="U425" s="82">
        <f t="shared" si="47"/>
        <v>0</v>
      </c>
      <c r="V425" s="83">
        <f>IF(COUNTIFS(Roster!$B$5:$B$1504,$A425,Roster!$G$5:$G$1504,"&gt;0")=0,0,SUMIFS(Roster!$H$5:$H$1504,Roster!$B$5:$B$1504,$A425,Roster!$G$5:$G$1504,_xlfn.MAXIFS(Roster!$G$5:$G$1504,Roster!$B$5:$B$1504,$A425)))</f>
        <v>0</v>
      </c>
      <c r="W425" s="101" t="str">
        <f t="shared" si="48"/>
        <v>Filled</v>
      </c>
    </row>
    <row r="426" spans="1:23" x14ac:dyDescent="0.25">
      <c r="A426" s="76" t="s">
        <v>862</v>
      </c>
      <c r="B426" s="76" t="s">
        <v>359</v>
      </c>
      <c r="C426" s="76" t="s">
        <v>826</v>
      </c>
      <c r="D426" s="97">
        <v>2</v>
      </c>
      <c r="E426" s="98" t="s">
        <v>325</v>
      </c>
      <c r="F426" s="78">
        <v>85500</v>
      </c>
      <c r="G426" s="97">
        <v>1</v>
      </c>
      <c r="H426" s="98" t="s">
        <v>399</v>
      </c>
      <c r="J426" s="99">
        <f>1+Assumptions!$B$11+INDEX(Assumptions!$B$12:$B$15,D426)*Assumptions!$B$16</f>
        <v>1.35</v>
      </c>
      <c r="K426" s="82">
        <f t="shared" si="42"/>
        <v>115425.00000000001</v>
      </c>
      <c r="L426" s="100">
        <f>IF(E426="Yes",MAX(0,Assumptions!$B$8-G426+1),0)</f>
        <v>8</v>
      </c>
      <c r="M426" s="82">
        <f t="shared" si="43"/>
        <v>76950.000000000015</v>
      </c>
      <c r="N426" s="100">
        <f>MIN(1,SUMIFS(Roster!$N$5:$N$1504,Roster!$B$5:$B$1504,$A426))</f>
        <v>1</v>
      </c>
      <c r="O426" s="100">
        <f>SUMIFS(Roster!$L$5:$L$1504,Roster!$B$5:$B$1504,$A426)</f>
        <v>8</v>
      </c>
      <c r="P426" s="83">
        <f>SUMIFS(Roster!$M$5:$M$1504,Roster!$B$5:$B$1504,$A426)*J426</f>
        <v>76230</v>
      </c>
      <c r="Q426" s="83">
        <f>SUMIFS(Roster!$O$5:$O$1504,Roster!$B$5:$B$1504,$A426)*J426</f>
        <v>114345.00000000001</v>
      </c>
      <c r="R426" s="82">
        <f t="shared" si="44"/>
        <v>114345.00000000001</v>
      </c>
      <c r="S426" s="82">
        <f t="shared" si="45"/>
        <v>0</v>
      </c>
      <c r="T426" s="82">
        <f t="shared" si="46"/>
        <v>720.00000000001455</v>
      </c>
      <c r="U426" s="82">
        <f t="shared" si="47"/>
        <v>0</v>
      </c>
      <c r="V426" s="83">
        <f>IF(COUNTIFS(Roster!$B$5:$B$1504,$A426,Roster!$G$5:$G$1504,"&gt;0")=0,0,SUMIFS(Roster!$H$5:$H$1504,Roster!$B$5:$B$1504,$A426,Roster!$G$5:$G$1504,_xlfn.MAXIFS(Roster!$G$5:$G$1504,Roster!$B$5:$B$1504,$A426)))</f>
        <v>0</v>
      </c>
      <c r="W426" s="101" t="str">
        <f t="shared" si="48"/>
        <v>Filled</v>
      </c>
    </row>
    <row r="427" spans="1:23" x14ac:dyDescent="0.25">
      <c r="A427" s="76" t="s">
        <v>863</v>
      </c>
      <c r="B427" s="76" t="s">
        <v>359</v>
      </c>
      <c r="C427" s="76" t="s">
        <v>830</v>
      </c>
      <c r="D427" s="97">
        <v>1</v>
      </c>
      <c r="E427" s="98" t="s">
        <v>325</v>
      </c>
      <c r="F427" s="78">
        <v>57000</v>
      </c>
      <c r="G427" s="97">
        <v>1</v>
      </c>
      <c r="H427" s="98" t="s">
        <v>399</v>
      </c>
      <c r="J427" s="99">
        <f>1+Assumptions!$B$11+INDEX(Assumptions!$B$12:$B$15,D427)*Assumptions!$B$16</f>
        <v>1.3</v>
      </c>
      <c r="K427" s="82">
        <f t="shared" si="42"/>
        <v>74100</v>
      </c>
      <c r="L427" s="100">
        <f>IF(E427="Yes",MAX(0,Assumptions!$B$8-G427+1),0)</f>
        <v>8</v>
      </c>
      <c r="M427" s="82">
        <f t="shared" si="43"/>
        <v>49400</v>
      </c>
      <c r="N427" s="100">
        <f>MIN(1,SUMIFS(Roster!$N$5:$N$1504,Roster!$B$5:$B$1504,$A427))</f>
        <v>1</v>
      </c>
      <c r="O427" s="100">
        <f>SUMIFS(Roster!$L$5:$L$1504,Roster!$B$5:$B$1504,$A427)</f>
        <v>8</v>
      </c>
      <c r="P427" s="83">
        <f>SUMIFS(Roster!$M$5:$M$1504,Roster!$B$5:$B$1504,$A427)*J427</f>
        <v>49746.666666666664</v>
      </c>
      <c r="Q427" s="83">
        <f>SUMIFS(Roster!$O$5:$O$1504,Roster!$B$5:$B$1504,$A427)*J427</f>
        <v>74620</v>
      </c>
      <c r="R427" s="82">
        <f t="shared" si="44"/>
        <v>74620</v>
      </c>
      <c r="S427" s="82">
        <f t="shared" si="45"/>
        <v>0</v>
      </c>
      <c r="T427" s="82">
        <f t="shared" si="46"/>
        <v>-346.66666666666424</v>
      </c>
      <c r="U427" s="82">
        <f t="shared" si="47"/>
        <v>0</v>
      </c>
      <c r="V427" s="83">
        <f>IF(COUNTIFS(Roster!$B$5:$B$1504,$A427,Roster!$G$5:$G$1504,"&gt;0")=0,0,SUMIFS(Roster!$H$5:$H$1504,Roster!$B$5:$B$1504,$A427,Roster!$G$5:$G$1504,_xlfn.MAXIFS(Roster!$G$5:$G$1504,Roster!$B$5:$B$1504,$A427)))</f>
        <v>0</v>
      </c>
      <c r="W427" s="101" t="str">
        <f t="shared" si="48"/>
        <v>Filled</v>
      </c>
    </row>
    <row r="428" spans="1:23" x14ac:dyDescent="0.25">
      <c r="A428" s="76" t="s">
        <v>864</v>
      </c>
      <c r="B428" s="76" t="s">
        <v>359</v>
      </c>
      <c r="C428" s="76" t="s">
        <v>830</v>
      </c>
      <c r="D428" s="97">
        <v>1</v>
      </c>
      <c r="E428" s="98" t="s">
        <v>325</v>
      </c>
      <c r="F428" s="78">
        <v>67500</v>
      </c>
      <c r="G428" s="97">
        <v>1</v>
      </c>
      <c r="H428" s="98" t="s">
        <v>399</v>
      </c>
      <c r="J428" s="99">
        <f>1+Assumptions!$B$11+INDEX(Assumptions!$B$12:$B$15,D428)*Assumptions!$B$16</f>
        <v>1.3</v>
      </c>
      <c r="K428" s="82">
        <f t="shared" si="42"/>
        <v>87750</v>
      </c>
      <c r="L428" s="100">
        <f>IF(E428="Yes",MAX(0,Assumptions!$B$8-G428+1),0)</f>
        <v>8</v>
      </c>
      <c r="M428" s="82">
        <f t="shared" si="43"/>
        <v>58500</v>
      </c>
      <c r="N428" s="100">
        <f>MIN(1,SUMIFS(Roster!$N$5:$N$1504,Roster!$B$5:$B$1504,$A428))</f>
        <v>1</v>
      </c>
      <c r="O428" s="100">
        <f>SUMIFS(Roster!$L$5:$L$1504,Roster!$B$5:$B$1504,$A428)</f>
        <v>8</v>
      </c>
      <c r="P428" s="83">
        <f>SUMIFS(Roster!$M$5:$M$1504,Roster!$B$5:$B$1504,$A428)*J428</f>
        <v>59193.333333333336</v>
      </c>
      <c r="Q428" s="83">
        <f>SUMIFS(Roster!$O$5:$O$1504,Roster!$B$5:$B$1504,$A428)*J428</f>
        <v>88790</v>
      </c>
      <c r="R428" s="82">
        <f t="shared" si="44"/>
        <v>88790</v>
      </c>
      <c r="S428" s="82">
        <f t="shared" si="45"/>
        <v>0</v>
      </c>
      <c r="T428" s="82">
        <f t="shared" si="46"/>
        <v>-693.33333333333576</v>
      </c>
      <c r="U428" s="82">
        <f t="shared" si="47"/>
        <v>0</v>
      </c>
      <c r="V428" s="83">
        <f>IF(COUNTIFS(Roster!$B$5:$B$1504,$A428,Roster!$G$5:$G$1504,"&gt;0")=0,0,SUMIFS(Roster!$H$5:$H$1504,Roster!$B$5:$B$1504,$A428,Roster!$G$5:$G$1504,_xlfn.MAXIFS(Roster!$G$5:$G$1504,Roster!$B$5:$B$1504,$A428)))</f>
        <v>0</v>
      </c>
      <c r="W428" s="101" t="str">
        <f t="shared" si="48"/>
        <v>Filled</v>
      </c>
    </row>
    <row r="429" spans="1:23" x14ac:dyDescent="0.25">
      <c r="A429" s="76" t="s">
        <v>865</v>
      </c>
      <c r="B429" s="76" t="s">
        <v>359</v>
      </c>
      <c r="C429" s="76" t="s">
        <v>826</v>
      </c>
      <c r="D429" s="97">
        <v>2</v>
      </c>
      <c r="E429" s="98" t="s">
        <v>325</v>
      </c>
      <c r="F429" s="78">
        <v>96000</v>
      </c>
      <c r="G429" s="97">
        <v>1</v>
      </c>
      <c r="H429" s="98" t="s">
        <v>399</v>
      </c>
      <c r="J429" s="99">
        <f>1+Assumptions!$B$11+INDEX(Assumptions!$B$12:$B$15,D429)*Assumptions!$B$16</f>
        <v>1.35</v>
      </c>
      <c r="K429" s="82">
        <f t="shared" si="42"/>
        <v>129600.00000000001</v>
      </c>
      <c r="L429" s="100">
        <f>IF(E429="Yes",MAX(0,Assumptions!$B$8-G429+1),0)</f>
        <v>8</v>
      </c>
      <c r="M429" s="82">
        <f t="shared" si="43"/>
        <v>86400.000000000015</v>
      </c>
      <c r="N429" s="100">
        <f>MIN(1,SUMIFS(Roster!$N$5:$N$1504,Roster!$B$5:$B$1504,$A429))</f>
        <v>1</v>
      </c>
      <c r="O429" s="100">
        <f>SUMIFS(Roster!$L$5:$L$1504,Roster!$B$5:$B$1504,$A429)</f>
        <v>8</v>
      </c>
      <c r="P429" s="83">
        <f>SUMIFS(Roster!$M$5:$M$1504,Roster!$B$5:$B$1504,$A429)*J429</f>
        <v>85950</v>
      </c>
      <c r="Q429" s="83">
        <f>SUMIFS(Roster!$O$5:$O$1504,Roster!$B$5:$B$1504,$A429)*J429</f>
        <v>128925.00000000001</v>
      </c>
      <c r="R429" s="82">
        <f t="shared" si="44"/>
        <v>128925.00000000001</v>
      </c>
      <c r="S429" s="82">
        <f t="shared" si="45"/>
        <v>0</v>
      </c>
      <c r="T429" s="82">
        <f t="shared" si="46"/>
        <v>450.00000000001455</v>
      </c>
      <c r="U429" s="82">
        <f t="shared" si="47"/>
        <v>0</v>
      </c>
      <c r="V429" s="83">
        <f>IF(COUNTIFS(Roster!$B$5:$B$1504,$A429,Roster!$G$5:$G$1504,"&gt;0")=0,0,SUMIFS(Roster!$H$5:$H$1504,Roster!$B$5:$B$1504,$A429,Roster!$G$5:$G$1504,_xlfn.MAXIFS(Roster!$G$5:$G$1504,Roster!$B$5:$B$1504,$A429)))</f>
        <v>0</v>
      </c>
      <c r="W429" s="101" t="str">
        <f t="shared" si="48"/>
        <v>Filled</v>
      </c>
    </row>
    <row r="430" spans="1:23" x14ac:dyDescent="0.25">
      <c r="A430" s="76" t="s">
        <v>866</v>
      </c>
      <c r="B430" s="76" t="s">
        <v>359</v>
      </c>
      <c r="C430" s="76" t="s">
        <v>826</v>
      </c>
      <c r="D430" s="97">
        <v>2</v>
      </c>
      <c r="E430" s="98" t="s">
        <v>325</v>
      </c>
      <c r="F430" s="78">
        <v>87000</v>
      </c>
      <c r="G430" s="97">
        <v>1</v>
      </c>
      <c r="H430" s="98" t="s">
        <v>399</v>
      </c>
      <c r="J430" s="99">
        <f>1+Assumptions!$B$11+INDEX(Assumptions!$B$12:$B$15,D430)*Assumptions!$B$16</f>
        <v>1.35</v>
      </c>
      <c r="K430" s="82">
        <f t="shared" si="42"/>
        <v>117450.00000000001</v>
      </c>
      <c r="L430" s="100">
        <f>IF(E430="Yes",MAX(0,Assumptions!$B$8-G430+1),0)</f>
        <v>8</v>
      </c>
      <c r="M430" s="82">
        <f t="shared" si="43"/>
        <v>78300.000000000015</v>
      </c>
      <c r="N430" s="100">
        <f>MIN(1,SUMIFS(Roster!$N$5:$N$1504,Roster!$B$5:$B$1504,$A430))</f>
        <v>1</v>
      </c>
      <c r="O430" s="100">
        <f>SUMIFS(Roster!$L$5:$L$1504,Roster!$B$5:$B$1504,$A430)</f>
        <v>6</v>
      </c>
      <c r="P430" s="83">
        <f>SUMIFS(Roster!$M$5:$M$1504,Roster!$B$5:$B$1504,$A430)*J430</f>
        <v>59940.000000000007</v>
      </c>
      <c r="Q430" s="83">
        <f>SUMIFS(Roster!$O$5:$O$1504,Roster!$B$5:$B$1504,$A430)*J430</f>
        <v>126900.00000000001</v>
      </c>
      <c r="R430" s="82">
        <f t="shared" si="44"/>
        <v>126900.00000000001</v>
      </c>
      <c r="S430" s="82">
        <f t="shared" si="45"/>
        <v>19575.000000000004</v>
      </c>
      <c r="T430" s="82">
        <f t="shared" si="46"/>
        <v>-1215</v>
      </c>
      <c r="U430" s="82">
        <f t="shared" si="47"/>
        <v>0</v>
      </c>
      <c r="V430" s="83">
        <f>IF(COUNTIFS(Roster!$B$5:$B$1504,$A430,Roster!$G$5:$G$1504,"&gt;0")=0,0,SUMIFS(Roster!$H$5:$H$1504,Roster!$B$5:$B$1504,$A430,Roster!$G$5:$G$1504,_xlfn.MAXIFS(Roster!$G$5:$G$1504,Roster!$B$5:$B$1504,$A430)))</f>
        <v>86200</v>
      </c>
      <c r="W430" s="101" t="str">
        <f t="shared" si="48"/>
        <v>Filled</v>
      </c>
    </row>
    <row r="431" spans="1:23" x14ac:dyDescent="0.25">
      <c r="A431" s="76" t="s">
        <v>867</v>
      </c>
      <c r="B431" s="76" t="s">
        <v>359</v>
      </c>
      <c r="C431" s="76" t="s">
        <v>830</v>
      </c>
      <c r="D431" s="97">
        <v>1</v>
      </c>
      <c r="E431" s="98" t="s">
        <v>325</v>
      </c>
      <c r="F431" s="78">
        <v>52500</v>
      </c>
      <c r="G431" s="97">
        <v>1</v>
      </c>
      <c r="H431" s="98" t="s">
        <v>399</v>
      </c>
      <c r="J431" s="99">
        <f>1+Assumptions!$B$11+INDEX(Assumptions!$B$12:$B$15,D431)*Assumptions!$B$16</f>
        <v>1.3</v>
      </c>
      <c r="K431" s="82">
        <f t="shared" si="42"/>
        <v>68250</v>
      </c>
      <c r="L431" s="100">
        <f>IF(E431="Yes",MAX(0,Assumptions!$B$8-G431+1),0)</f>
        <v>8</v>
      </c>
      <c r="M431" s="82">
        <f t="shared" si="43"/>
        <v>45500</v>
      </c>
      <c r="N431" s="100">
        <f>MIN(1,SUMIFS(Roster!$N$5:$N$1504,Roster!$B$5:$B$1504,$A431))</f>
        <v>1</v>
      </c>
      <c r="O431" s="100">
        <f>SUMIFS(Roster!$L$5:$L$1504,Roster!$B$5:$B$1504,$A431)</f>
        <v>8</v>
      </c>
      <c r="P431" s="83">
        <f>SUMIFS(Roster!$M$5:$M$1504,Roster!$B$5:$B$1504,$A431)*J431</f>
        <v>46020</v>
      </c>
      <c r="Q431" s="83">
        <f>SUMIFS(Roster!$O$5:$O$1504,Roster!$B$5:$B$1504,$A431)*J431</f>
        <v>69030</v>
      </c>
      <c r="R431" s="82">
        <f t="shared" si="44"/>
        <v>69030</v>
      </c>
      <c r="S431" s="82">
        <f t="shared" si="45"/>
        <v>0</v>
      </c>
      <c r="T431" s="82">
        <f t="shared" si="46"/>
        <v>-520</v>
      </c>
      <c r="U431" s="82">
        <f t="shared" si="47"/>
        <v>0</v>
      </c>
      <c r="V431" s="83">
        <f>IF(COUNTIFS(Roster!$B$5:$B$1504,$A431,Roster!$G$5:$G$1504,"&gt;0")=0,0,SUMIFS(Roster!$H$5:$H$1504,Roster!$B$5:$B$1504,$A431,Roster!$G$5:$G$1504,_xlfn.MAXIFS(Roster!$G$5:$G$1504,Roster!$B$5:$B$1504,$A431)))</f>
        <v>0</v>
      </c>
      <c r="W431" s="101" t="str">
        <f t="shared" si="48"/>
        <v>Filled</v>
      </c>
    </row>
    <row r="432" spans="1:23" x14ac:dyDescent="0.25">
      <c r="A432" s="76" t="s">
        <v>868</v>
      </c>
      <c r="B432" s="76" t="s">
        <v>359</v>
      </c>
      <c r="C432" s="76" t="s">
        <v>828</v>
      </c>
      <c r="D432" s="97">
        <v>3</v>
      </c>
      <c r="E432" s="98" t="s">
        <v>325</v>
      </c>
      <c r="F432" s="78">
        <v>104000</v>
      </c>
      <c r="G432" s="97">
        <v>1</v>
      </c>
      <c r="H432" s="98" t="s">
        <v>399</v>
      </c>
      <c r="J432" s="99">
        <f>1+Assumptions!$B$11+INDEX(Assumptions!$B$12:$B$15,D432)*Assumptions!$B$16</f>
        <v>1.4</v>
      </c>
      <c r="K432" s="82">
        <f t="shared" si="42"/>
        <v>145600</v>
      </c>
      <c r="L432" s="100">
        <f>IF(E432="Yes",MAX(0,Assumptions!$B$8-G432+1),0)</f>
        <v>8</v>
      </c>
      <c r="M432" s="82">
        <f t="shared" si="43"/>
        <v>97066.666666666672</v>
      </c>
      <c r="N432" s="100">
        <f>MIN(1,SUMIFS(Roster!$N$5:$N$1504,Roster!$B$5:$B$1504,$A432))</f>
        <v>1</v>
      </c>
      <c r="O432" s="100">
        <f>SUMIFS(Roster!$L$5:$L$1504,Roster!$B$5:$B$1504,$A432)</f>
        <v>8</v>
      </c>
      <c r="P432" s="83">
        <f>SUMIFS(Roster!$M$5:$M$1504,Roster!$B$5:$B$1504,$A432)*J432</f>
        <v>95760</v>
      </c>
      <c r="Q432" s="83">
        <f>SUMIFS(Roster!$O$5:$O$1504,Roster!$B$5:$B$1504,$A432)*J432</f>
        <v>143640</v>
      </c>
      <c r="R432" s="82">
        <f t="shared" si="44"/>
        <v>143640</v>
      </c>
      <c r="S432" s="82">
        <f t="shared" si="45"/>
        <v>0</v>
      </c>
      <c r="T432" s="82">
        <f t="shared" si="46"/>
        <v>1306.6666666666715</v>
      </c>
      <c r="U432" s="82">
        <f t="shared" si="47"/>
        <v>0</v>
      </c>
      <c r="V432" s="83">
        <f>IF(COUNTIFS(Roster!$B$5:$B$1504,$A432,Roster!$G$5:$G$1504,"&gt;0")=0,0,SUMIFS(Roster!$H$5:$H$1504,Roster!$B$5:$B$1504,$A432,Roster!$G$5:$G$1504,_xlfn.MAXIFS(Roster!$G$5:$G$1504,Roster!$B$5:$B$1504,$A432)))</f>
        <v>0</v>
      </c>
      <c r="W432" s="101" t="str">
        <f t="shared" si="48"/>
        <v>Filled</v>
      </c>
    </row>
    <row r="433" spans="1:23" x14ac:dyDescent="0.25">
      <c r="A433" s="76" t="s">
        <v>869</v>
      </c>
      <c r="B433" s="76" t="s">
        <v>359</v>
      </c>
      <c r="C433" s="76" t="s">
        <v>828</v>
      </c>
      <c r="D433" s="97">
        <v>3</v>
      </c>
      <c r="E433" s="98" t="s">
        <v>325</v>
      </c>
      <c r="F433" s="78">
        <v>105500</v>
      </c>
      <c r="G433" s="97">
        <v>1</v>
      </c>
      <c r="H433" s="98" t="s">
        <v>399</v>
      </c>
      <c r="J433" s="99">
        <f>1+Assumptions!$B$11+INDEX(Assumptions!$B$12:$B$15,D433)*Assumptions!$B$16</f>
        <v>1.4</v>
      </c>
      <c r="K433" s="82">
        <f t="shared" si="42"/>
        <v>147700</v>
      </c>
      <c r="L433" s="100">
        <f>IF(E433="Yes",MAX(0,Assumptions!$B$8-G433+1),0)</f>
        <v>8</v>
      </c>
      <c r="M433" s="82">
        <f t="shared" si="43"/>
        <v>98466.666666666672</v>
      </c>
      <c r="N433" s="100">
        <f>MIN(1,SUMIFS(Roster!$N$5:$N$1504,Roster!$B$5:$B$1504,$A433))</f>
        <v>1</v>
      </c>
      <c r="O433" s="100">
        <f>SUMIFS(Roster!$L$5:$L$1504,Roster!$B$5:$B$1504,$A433)</f>
        <v>8</v>
      </c>
      <c r="P433" s="83">
        <f>SUMIFS(Roster!$M$5:$M$1504,Roster!$B$5:$B$1504,$A433)*J433</f>
        <v>98746.666666666657</v>
      </c>
      <c r="Q433" s="83">
        <f>SUMIFS(Roster!$O$5:$O$1504,Roster!$B$5:$B$1504,$A433)*J433</f>
        <v>148120</v>
      </c>
      <c r="R433" s="82">
        <f t="shared" si="44"/>
        <v>148120</v>
      </c>
      <c r="S433" s="82">
        <f t="shared" si="45"/>
        <v>0</v>
      </c>
      <c r="T433" s="82">
        <f t="shared" si="46"/>
        <v>-279.99999999998545</v>
      </c>
      <c r="U433" s="82">
        <f t="shared" si="47"/>
        <v>0</v>
      </c>
      <c r="V433" s="83">
        <f>IF(COUNTIFS(Roster!$B$5:$B$1504,$A433,Roster!$G$5:$G$1504,"&gt;0")=0,0,SUMIFS(Roster!$H$5:$H$1504,Roster!$B$5:$B$1504,$A433,Roster!$G$5:$G$1504,_xlfn.MAXIFS(Roster!$G$5:$G$1504,Roster!$B$5:$B$1504,$A433)))</f>
        <v>0</v>
      </c>
      <c r="W433" s="101" t="str">
        <f t="shared" si="48"/>
        <v>Filled</v>
      </c>
    </row>
    <row r="434" spans="1:23" x14ac:dyDescent="0.25">
      <c r="A434" s="76" t="s">
        <v>870</v>
      </c>
      <c r="B434" s="76" t="s">
        <v>359</v>
      </c>
      <c r="C434" s="76" t="s">
        <v>830</v>
      </c>
      <c r="D434" s="97">
        <v>1</v>
      </c>
      <c r="E434" s="98" t="s">
        <v>325</v>
      </c>
      <c r="F434" s="78">
        <v>54000</v>
      </c>
      <c r="G434" s="97">
        <v>1</v>
      </c>
      <c r="H434" s="98" t="s">
        <v>399</v>
      </c>
      <c r="J434" s="99">
        <f>1+Assumptions!$B$11+INDEX(Assumptions!$B$12:$B$15,D434)*Assumptions!$B$16</f>
        <v>1.3</v>
      </c>
      <c r="K434" s="82">
        <f t="shared" si="42"/>
        <v>70200</v>
      </c>
      <c r="L434" s="100">
        <f>IF(E434="Yes",MAX(0,Assumptions!$B$8-G434+1),0)</f>
        <v>8</v>
      </c>
      <c r="M434" s="82">
        <f t="shared" si="43"/>
        <v>46800</v>
      </c>
      <c r="N434" s="100">
        <f>MIN(1,SUMIFS(Roster!$N$5:$N$1504,Roster!$B$5:$B$1504,$A434))</f>
        <v>1</v>
      </c>
      <c r="O434" s="100">
        <f>SUMIFS(Roster!$L$5:$L$1504,Roster!$B$5:$B$1504,$A434)</f>
        <v>8</v>
      </c>
      <c r="P434" s="83">
        <f>SUMIFS(Roster!$M$5:$M$1504,Roster!$B$5:$B$1504,$A434)*J434</f>
        <v>46626.666666666664</v>
      </c>
      <c r="Q434" s="83">
        <f>SUMIFS(Roster!$O$5:$O$1504,Roster!$B$5:$B$1504,$A434)*J434</f>
        <v>69940</v>
      </c>
      <c r="R434" s="82">
        <f t="shared" si="44"/>
        <v>69940</v>
      </c>
      <c r="S434" s="82">
        <f t="shared" si="45"/>
        <v>0</v>
      </c>
      <c r="T434" s="82">
        <f t="shared" si="46"/>
        <v>173.33333333333576</v>
      </c>
      <c r="U434" s="82">
        <f t="shared" si="47"/>
        <v>0</v>
      </c>
      <c r="V434" s="83">
        <f>IF(COUNTIFS(Roster!$B$5:$B$1504,$A434,Roster!$G$5:$G$1504,"&gt;0")=0,0,SUMIFS(Roster!$H$5:$H$1504,Roster!$B$5:$B$1504,$A434,Roster!$G$5:$G$1504,_xlfn.MAXIFS(Roster!$G$5:$G$1504,Roster!$B$5:$B$1504,$A434)))</f>
        <v>0</v>
      </c>
      <c r="W434" s="101" t="str">
        <f t="shared" si="48"/>
        <v>Filled</v>
      </c>
    </row>
    <row r="435" spans="1:23" x14ac:dyDescent="0.25">
      <c r="A435" s="76" t="s">
        <v>871</v>
      </c>
      <c r="B435" s="76" t="s">
        <v>359</v>
      </c>
      <c r="C435" s="76" t="s">
        <v>826</v>
      </c>
      <c r="D435" s="97">
        <v>2</v>
      </c>
      <c r="E435" s="98" t="s">
        <v>325</v>
      </c>
      <c r="F435" s="78">
        <v>73000</v>
      </c>
      <c r="G435" s="97">
        <v>1</v>
      </c>
      <c r="H435" s="98" t="s">
        <v>399</v>
      </c>
      <c r="J435" s="99">
        <f>1+Assumptions!$B$11+INDEX(Assumptions!$B$12:$B$15,D435)*Assumptions!$B$16</f>
        <v>1.35</v>
      </c>
      <c r="K435" s="82">
        <f t="shared" si="42"/>
        <v>98550</v>
      </c>
      <c r="L435" s="100">
        <f>IF(E435="Yes",MAX(0,Assumptions!$B$8-G435+1),0)</f>
        <v>8</v>
      </c>
      <c r="M435" s="82">
        <f t="shared" si="43"/>
        <v>65700</v>
      </c>
      <c r="N435" s="100">
        <f>MIN(1,SUMIFS(Roster!$N$5:$N$1504,Roster!$B$5:$B$1504,$A435))</f>
        <v>1</v>
      </c>
      <c r="O435" s="100">
        <f>SUMIFS(Roster!$L$5:$L$1504,Roster!$B$5:$B$1504,$A435)</f>
        <v>8</v>
      </c>
      <c r="P435" s="83">
        <f>SUMIFS(Roster!$M$5:$M$1504,Roster!$B$5:$B$1504,$A435)*J435</f>
        <v>64890</v>
      </c>
      <c r="Q435" s="83">
        <f>SUMIFS(Roster!$O$5:$O$1504,Roster!$B$5:$B$1504,$A435)*J435</f>
        <v>97335</v>
      </c>
      <c r="R435" s="82">
        <f t="shared" si="44"/>
        <v>97335</v>
      </c>
      <c r="S435" s="82">
        <f t="shared" si="45"/>
        <v>0</v>
      </c>
      <c r="T435" s="82">
        <f t="shared" si="46"/>
        <v>810</v>
      </c>
      <c r="U435" s="82">
        <f t="shared" si="47"/>
        <v>0</v>
      </c>
      <c r="V435" s="83">
        <f>IF(COUNTIFS(Roster!$B$5:$B$1504,$A435,Roster!$G$5:$G$1504,"&gt;0")=0,0,SUMIFS(Roster!$H$5:$H$1504,Roster!$B$5:$B$1504,$A435,Roster!$G$5:$G$1504,_xlfn.MAXIFS(Roster!$G$5:$G$1504,Roster!$B$5:$B$1504,$A435)))</f>
        <v>0</v>
      </c>
      <c r="W435" s="101" t="str">
        <f t="shared" si="48"/>
        <v>Filled</v>
      </c>
    </row>
    <row r="436" spans="1:23" x14ac:dyDescent="0.25">
      <c r="A436" s="76" t="s">
        <v>872</v>
      </c>
      <c r="B436" s="76" t="s">
        <v>359</v>
      </c>
      <c r="C436" s="76" t="s">
        <v>826</v>
      </c>
      <c r="D436" s="97">
        <v>2</v>
      </c>
      <c r="E436" s="98" t="s">
        <v>325</v>
      </c>
      <c r="F436" s="78">
        <v>75000</v>
      </c>
      <c r="G436" s="97">
        <v>1</v>
      </c>
      <c r="H436" s="98" t="s">
        <v>399</v>
      </c>
      <c r="J436" s="99">
        <f>1+Assumptions!$B$11+INDEX(Assumptions!$B$12:$B$15,D436)*Assumptions!$B$16</f>
        <v>1.35</v>
      </c>
      <c r="K436" s="82">
        <f t="shared" si="42"/>
        <v>101250</v>
      </c>
      <c r="L436" s="100">
        <f>IF(E436="Yes",MAX(0,Assumptions!$B$8-G436+1),0)</f>
        <v>8</v>
      </c>
      <c r="M436" s="82">
        <f t="shared" si="43"/>
        <v>67500</v>
      </c>
      <c r="N436" s="100">
        <f>MIN(1,SUMIFS(Roster!$N$5:$N$1504,Roster!$B$5:$B$1504,$A436))</f>
        <v>1</v>
      </c>
      <c r="O436" s="100">
        <f>SUMIFS(Roster!$L$5:$L$1504,Roster!$B$5:$B$1504,$A436)</f>
        <v>8</v>
      </c>
      <c r="P436" s="83">
        <f>SUMIFS(Roster!$M$5:$M$1504,Roster!$B$5:$B$1504,$A436)*J436</f>
        <v>66960</v>
      </c>
      <c r="Q436" s="83">
        <f>SUMIFS(Roster!$O$5:$O$1504,Roster!$B$5:$B$1504,$A436)*J436</f>
        <v>100440</v>
      </c>
      <c r="R436" s="82">
        <f t="shared" si="44"/>
        <v>100440</v>
      </c>
      <c r="S436" s="82">
        <f t="shared" si="45"/>
        <v>0</v>
      </c>
      <c r="T436" s="82">
        <f t="shared" si="46"/>
        <v>540</v>
      </c>
      <c r="U436" s="82">
        <f t="shared" si="47"/>
        <v>0</v>
      </c>
      <c r="V436" s="83">
        <f>IF(COUNTIFS(Roster!$B$5:$B$1504,$A436,Roster!$G$5:$G$1504,"&gt;0")=0,0,SUMIFS(Roster!$H$5:$H$1504,Roster!$B$5:$B$1504,$A436,Roster!$G$5:$G$1504,_xlfn.MAXIFS(Roster!$G$5:$G$1504,Roster!$B$5:$B$1504,$A436)))</f>
        <v>0</v>
      </c>
      <c r="W436" s="101" t="str">
        <f t="shared" si="48"/>
        <v>Filled</v>
      </c>
    </row>
    <row r="437" spans="1:23" x14ac:dyDescent="0.25">
      <c r="A437" s="76" t="s">
        <v>873</v>
      </c>
      <c r="B437" s="76" t="s">
        <v>359</v>
      </c>
      <c r="C437" s="76" t="s">
        <v>830</v>
      </c>
      <c r="D437" s="97">
        <v>1</v>
      </c>
      <c r="E437" s="98" t="s">
        <v>325</v>
      </c>
      <c r="F437" s="78">
        <v>53500</v>
      </c>
      <c r="G437" s="97">
        <v>1</v>
      </c>
      <c r="H437" s="98" t="s">
        <v>399</v>
      </c>
      <c r="J437" s="99">
        <f>1+Assumptions!$B$11+INDEX(Assumptions!$B$12:$B$15,D437)*Assumptions!$B$16</f>
        <v>1.3</v>
      </c>
      <c r="K437" s="82">
        <f t="shared" si="42"/>
        <v>69550</v>
      </c>
      <c r="L437" s="100">
        <f>IF(E437="Yes",MAX(0,Assumptions!$B$8-G437+1),0)</f>
        <v>8</v>
      </c>
      <c r="M437" s="82">
        <f t="shared" si="43"/>
        <v>46366.666666666664</v>
      </c>
      <c r="N437" s="100">
        <f>MIN(1,SUMIFS(Roster!$N$5:$N$1504,Roster!$B$5:$B$1504,$A437))</f>
        <v>1</v>
      </c>
      <c r="O437" s="100">
        <f>SUMIFS(Roster!$L$5:$L$1504,Roster!$B$5:$B$1504,$A437)</f>
        <v>8</v>
      </c>
      <c r="P437" s="83">
        <f>SUMIFS(Roster!$M$5:$M$1504,Roster!$B$5:$B$1504,$A437)*J437</f>
        <v>46453.333333333336</v>
      </c>
      <c r="Q437" s="83">
        <f>SUMIFS(Roster!$O$5:$O$1504,Roster!$B$5:$B$1504,$A437)*J437</f>
        <v>69680</v>
      </c>
      <c r="R437" s="82">
        <f t="shared" si="44"/>
        <v>69680</v>
      </c>
      <c r="S437" s="82">
        <f t="shared" si="45"/>
        <v>0</v>
      </c>
      <c r="T437" s="82">
        <f t="shared" si="46"/>
        <v>-86.666666666671517</v>
      </c>
      <c r="U437" s="82">
        <f t="shared" si="47"/>
        <v>0</v>
      </c>
      <c r="V437" s="83">
        <f>IF(COUNTIFS(Roster!$B$5:$B$1504,$A437,Roster!$G$5:$G$1504,"&gt;0")=0,0,SUMIFS(Roster!$H$5:$H$1504,Roster!$B$5:$B$1504,$A437,Roster!$G$5:$G$1504,_xlfn.MAXIFS(Roster!$G$5:$G$1504,Roster!$B$5:$B$1504,$A437)))</f>
        <v>0</v>
      </c>
      <c r="W437" s="101" t="str">
        <f t="shared" si="48"/>
        <v>Filled</v>
      </c>
    </row>
    <row r="438" spans="1:23" x14ac:dyDescent="0.25">
      <c r="A438" s="76" t="s">
        <v>874</v>
      </c>
      <c r="B438" s="76" t="s">
        <v>359</v>
      </c>
      <c r="C438" s="76" t="s">
        <v>830</v>
      </c>
      <c r="D438" s="97">
        <v>1</v>
      </c>
      <c r="E438" s="98" t="s">
        <v>325</v>
      </c>
      <c r="F438" s="78">
        <v>61000</v>
      </c>
      <c r="G438" s="97">
        <v>1</v>
      </c>
      <c r="H438" s="98" t="s">
        <v>399</v>
      </c>
      <c r="J438" s="99">
        <f>1+Assumptions!$B$11+INDEX(Assumptions!$B$12:$B$15,D438)*Assumptions!$B$16</f>
        <v>1.3</v>
      </c>
      <c r="K438" s="82">
        <f t="shared" si="42"/>
        <v>79300</v>
      </c>
      <c r="L438" s="100">
        <f>IF(E438="Yes",MAX(0,Assumptions!$B$8-G438+1),0)</f>
        <v>8</v>
      </c>
      <c r="M438" s="82">
        <f t="shared" si="43"/>
        <v>52866.666666666664</v>
      </c>
      <c r="N438" s="100">
        <f>MIN(1,SUMIFS(Roster!$N$5:$N$1504,Roster!$B$5:$B$1504,$A438))</f>
        <v>1</v>
      </c>
      <c r="O438" s="100">
        <f>SUMIFS(Roster!$L$5:$L$1504,Roster!$B$5:$B$1504,$A438)</f>
        <v>8</v>
      </c>
      <c r="P438" s="83">
        <f>SUMIFS(Roster!$M$5:$M$1504,Roster!$B$5:$B$1504,$A438)*J438</f>
        <v>52173.333333333336</v>
      </c>
      <c r="Q438" s="83">
        <f>SUMIFS(Roster!$O$5:$O$1504,Roster!$B$5:$B$1504,$A438)*J438</f>
        <v>78260</v>
      </c>
      <c r="R438" s="82">
        <f t="shared" si="44"/>
        <v>78260</v>
      </c>
      <c r="S438" s="82">
        <f t="shared" si="45"/>
        <v>0</v>
      </c>
      <c r="T438" s="82">
        <f t="shared" si="46"/>
        <v>693.33333333332848</v>
      </c>
      <c r="U438" s="82">
        <f t="shared" si="47"/>
        <v>0</v>
      </c>
      <c r="V438" s="83">
        <f>IF(COUNTIFS(Roster!$B$5:$B$1504,$A438,Roster!$G$5:$G$1504,"&gt;0")=0,0,SUMIFS(Roster!$H$5:$H$1504,Roster!$B$5:$B$1504,$A438,Roster!$G$5:$G$1504,_xlfn.MAXIFS(Roster!$G$5:$G$1504,Roster!$B$5:$B$1504,$A438)))</f>
        <v>0</v>
      </c>
      <c r="W438" s="101" t="str">
        <f t="shared" si="48"/>
        <v>Filled</v>
      </c>
    </row>
    <row r="439" spans="1:23" x14ac:dyDescent="0.25">
      <c r="A439" s="76" t="s">
        <v>875</v>
      </c>
      <c r="B439" s="76" t="s">
        <v>359</v>
      </c>
      <c r="C439" s="76" t="s">
        <v>830</v>
      </c>
      <c r="D439" s="97">
        <v>1</v>
      </c>
      <c r="E439" s="98" t="s">
        <v>325</v>
      </c>
      <c r="F439" s="78">
        <v>55500</v>
      </c>
      <c r="G439" s="97">
        <v>1</v>
      </c>
      <c r="H439" s="98" t="s">
        <v>399</v>
      </c>
      <c r="J439" s="99">
        <f>1+Assumptions!$B$11+INDEX(Assumptions!$B$12:$B$15,D439)*Assumptions!$B$16</f>
        <v>1.3</v>
      </c>
      <c r="K439" s="82">
        <f t="shared" si="42"/>
        <v>72150</v>
      </c>
      <c r="L439" s="100">
        <f>IF(E439="Yes",MAX(0,Assumptions!$B$8-G439+1),0)</f>
        <v>8</v>
      </c>
      <c r="M439" s="82">
        <f t="shared" si="43"/>
        <v>48100</v>
      </c>
      <c r="N439" s="100">
        <f>MIN(1,SUMIFS(Roster!$N$5:$N$1504,Roster!$B$5:$B$1504,$A439))</f>
        <v>1</v>
      </c>
      <c r="O439" s="100">
        <f>SUMIFS(Roster!$L$5:$L$1504,Roster!$B$5:$B$1504,$A439)</f>
        <v>8</v>
      </c>
      <c r="P439" s="83">
        <f>SUMIFS(Roster!$M$5:$M$1504,Roster!$B$5:$B$1504,$A439)*J439</f>
        <v>48533.333333333336</v>
      </c>
      <c r="Q439" s="83">
        <f>SUMIFS(Roster!$O$5:$O$1504,Roster!$B$5:$B$1504,$A439)*J439</f>
        <v>72800</v>
      </c>
      <c r="R439" s="82">
        <f t="shared" si="44"/>
        <v>72800</v>
      </c>
      <c r="S439" s="82">
        <f t="shared" si="45"/>
        <v>0</v>
      </c>
      <c r="T439" s="82">
        <f t="shared" si="46"/>
        <v>-433.33333333333576</v>
      </c>
      <c r="U439" s="82">
        <f t="shared" si="47"/>
        <v>0</v>
      </c>
      <c r="V439" s="83">
        <f>IF(COUNTIFS(Roster!$B$5:$B$1504,$A439,Roster!$G$5:$G$1504,"&gt;0")=0,0,SUMIFS(Roster!$H$5:$H$1504,Roster!$B$5:$B$1504,$A439,Roster!$G$5:$G$1504,_xlfn.MAXIFS(Roster!$G$5:$G$1504,Roster!$B$5:$B$1504,$A439)))</f>
        <v>0</v>
      </c>
      <c r="W439" s="101" t="str">
        <f t="shared" si="48"/>
        <v>Filled</v>
      </c>
    </row>
    <row r="440" spans="1:23" x14ac:dyDescent="0.25">
      <c r="A440" s="76" t="s">
        <v>876</v>
      </c>
      <c r="B440" s="76" t="s">
        <v>359</v>
      </c>
      <c r="C440" s="76" t="s">
        <v>828</v>
      </c>
      <c r="D440" s="97">
        <v>3</v>
      </c>
      <c r="E440" s="98" t="s">
        <v>325</v>
      </c>
      <c r="F440" s="78">
        <v>104000</v>
      </c>
      <c r="G440" s="97">
        <v>1</v>
      </c>
      <c r="H440" s="98" t="s">
        <v>399</v>
      </c>
      <c r="J440" s="99">
        <f>1+Assumptions!$B$11+INDEX(Assumptions!$B$12:$B$15,D440)*Assumptions!$B$16</f>
        <v>1.4</v>
      </c>
      <c r="K440" s="82">
        <f t="shared" si="42"/>
        <v>145600</v>
      </c>
      <c r="L440" s="100">
        <f>IF(E440="Yes",MAX(0,Assumptions!$B$8-G440+1),0)</f>
        <v>8</v>
      </c>
      <c r="M440" s="82">
        <f t="shared" si="43"/>
        <v>97066.666666666672</v>
      </c>
      <c r="N440" s="100">
        <f>MIN(1,SUMIFS(Roster!$N$5:$N$1504,Roster!$B$5:$B$1504,$A440))</f>
        <v>1</v>
      </c>
      <c r="O440" s="100">
        <f>SUMIFS(Roster!$L$5:$L$1504,Roster!$B$5:$B$1504,$A440)</f>
        <v>8</v>
      </c>
      <c r="P440" s="83">
        <f>SUMIFS(Roster!$M$5:$M$1504,Roster!$B$5:$B$1504,$A440)*J440</f>
        <v>96786.666666666657</v>
      </c>
      <c r="Q440" s="83">
        <f>SUMIFS(Roster!$O$5:$O$1504,Roster!$B$5:$B$1504,$A440)*J440</f>
        <v>145180</v>
      </c>
      <c r="R440" s="82">
        <f t="shared" si="44"/>
        <v>145180</v>
      </c>
      <c r="S440" s="82">
        <f t="shared" si="45"/>
        <v>0</v>
      </c>
      <c r="T440" s="82">
        <f t="shared" si="46"/>
        <v>280.00000000001455</v>
      </c>
      <c r="U440" s="82">
        <f t="shared" si="47"/>
        <v>0</v>
      </c>
      <c r="V440" s="83">
        <f>IF(COUNTIFS(Roster!$B$5:$B$1504,$A440,Roster!$G$5:$G$1504,"&gt;0")=0,0,SUMIFS(Roster!$H$5:$H$1504,Roster!$B$5:$B$1504,$A440,Roster!$G$5:$G$1504,_xlfn.MAXIFS(Roster!$G$5:$G$1504,Roster!$B$5:$B$1504,$A440)))</f>
        <v>0</v>
      </c>
      <c r="W440" s="101" t="str">
        <f t="shared" si="48"/>
        <v>Filled</v>
      </c>
    </row>
    <row r="441" spans="1:23" x14ac:dyDescent="0.25">
      <c r="A441" s="76" t="s">
        <v>877</v>
      </c>
      <c r="B441" s="76" t="s">
        <v>359</v>
      </c>
      <c r="C441" s="76" t="s">
        <v>828</v>
      </c>
      <c r="D441" s="97">
        <v>3</v>
      </c>
      <c r="E441" s="98" t="s">
        <v>325</v>
      </c>
      <c r="F441" s="78">
        <v>118000</v>
      </c>
      <c r="G441" s="97">
        <v>1</v>
      </c>
      <c r="H441" s="98" t="s">
        <v>399</v>
      </c>
      <c r="J441" s="99">
        <f>1+Assumptions!$B$11+INDEX(Assumptions!$B$12:$B$15,D441)*Assumptions!$B$16</f>
        <v>1.4</v>
      </c>
      <c r="K441" s="82">
        <f t="shared" si="42"/>
        <v>165200</v>
      </c>
      <c r="L441" s="100">
        <f>IF(E441="Yes",MAX(0,Assumptions!$B$8-G441+1),0)</f>
        <v>8</v>
      </c>
      <c r="M441" s="82">
        <f t="shared" si="43"/>
        <v>110133.33333333333</v>
      </c>
      <c r="N441" s="100">
        <f>MIN(1,SUMIFS(Roster!$N$5:$N$1504,Roster!$B$5:$B$1504,$A441))</f>
        <v>1</v>
      </c>
      <c r="O441" s="100">
        <f>SUMIFS(Roster!$L$5:$L$1504,Roster!$B$5:$B$1504,$A441)</f>
        <v>8</v>
      </c>
      <c r="P441" s="83">
        <f>SUMIFS(Roster!$M$5:$M$1504,Roster!$B$5:$B$1504,$A441)*J441</f>
        <v>111626.66666666666</v>
      </c>
      <c r="Q441" s="83">
        <f>SUMIFS(Roster!$O$5:$O$1504,Roster!$B$5:$B$1504,$A441)*J441</f>
        <v>167440</v>
      </c>
      <c r="R441" s="82">
        <f t="shared" si="44"/>
        <v>167440</v>
      </c>
      <c r="S441" s="82">
        <f t="shared" si="45"/>
        <v>0</v>
      </c>
      <c r="T441" s="82">
        <f t="shared" si="46"/>
        <v>-1493.3333333333285</v>
      </c>
      <c r="U441" s="82">
        <f t="shared" si="47"/>
        <v>0</v>
      </c>
      <c r="V441" s="83">
        <f>IF(COUNTIFS(Roster!$B$5:$B$1504,$A441,Roster!$G$5:$G$1504,"&gt;0")=0,0,SUMIFS(Roster!$H$5:$H$1504,Roster!$B$5:$B$1504,$A441,Roster!$G$5:$G$1504,_xlfn.MAXIFS(Roster!$G$5:$G$1504,Roster!$B$5:$B$1504,$A441)))</f>
        <v>0</v>
      </c>
      <c r="W441" s="101" t="str">
        <f t="shared" si="48"/>
        <v>Filled</v>
      </c>
    </row>
    <row r="442" spans="1:23" x14ac:dyDescent="0.25">
      <c r="A442" s="76" t="s">
        <v>878</v>
      </c>
      <c r="B442" s="76" t="s">
        <v>359</v>
      </c>
      <c r="C442" s="76" t="s">
        <v>830</v>
      </c>
      <c r="D442" s="97">
        <v>1</v>
      </c>
      <c r="E442" s="98" t="s">
        <v>325</v>
      </c>
      <c r="F442" s="78">
        <v>68500</v>
      </c>
      <c r="G442" s="97">
        <v>1</v>
      </c>
      <c r="H442" s="98" t="s">
        <v>399</v>
      </c>
      <c r="J442" s="99">
        <f>1+Assumptions!$B$11+INDEX(Assumptions!$B$12:$B$15,D442)*Assumptions!$B$16</f>
        <v>1.3</v>
      </c>
      <c r="K442" s="82">
        <f t="shared" si="42"/>
        <v>89050</v>
      </c>
      <c r="L442" s="100">
        <f>IF(E442="Yes",MAX(0,Assumptions!$B$8-G442+1),0)</f>
        <v>8</v>
      </c>
      <c r="M442" s="82">
        <f t="shared" si="43"/>
        <v>59366.666666666664</v>
      </c>
      <c r="N442" s="100">
        <f>MIN(1,SUMIFS(Roster!$N$5:$N$1504,Roster!$B$5:$B$1504,$A442))</f>
        <v>1</v>
      </c>
      <c r="O442" s="100">
        <f>SUMIFS(Roster!$L$5:$L$1504,Roster!$B$5:$B$1504,$A442)</f>
        <v>8</v>
      </c>
      <c r="P442" s="83">
        <f>SUMIFS(Roster!$M$5:$M$1504,Roster!$B$5:$B$1504,$A442)*J442</f>
        <v>59626.666666666664</v>
      </c>
      <c r="Q442" s="83">
        <f>SUMIFS(Roster!$O$5:$O$1504,Roster!$B$5:$B$1504,$A442)*J442</f>
        <v>89440</v>
      </c>
      <c r="R442" s="82">
        <f t="shared" si="44"/>
        <v>89440</v>
      </c>
      <c r="S442" s="82">
        <f t="shared" si="45"/>
        <v>0</v>
      </c>
      <c r="T442" s="82">
        <f t="shared" si="46"/>
        <v>-260</v>
      </c>
      <c r="U442" s="82">
        <f t="shared" si="47"/>
        <v>0</v>
      </c>
      <c r="V442" s="83">
        <f>IF(COUNTIFS(Roster!$B$5:$B$1504,$A442,Roster!$G$5:$G$1504,"&gt;0")=0,0,SUMIFS(Roster!$H$5:$H$1504,Roster!$B$5:$B$1504,$A442,Roster!$G$5:$G$1504,_xlfn.MAXIFS(Roster!$G$5:$G$1504,Roster!$B$5:$B$1504,$A442)))</f>
        <v>0</v>
      </c>
      <c r="W442" s="101" t="str">
        <f t="shared" si="48"/>
        <v>Filled</v>
      </c>
    </row>
    <row r="443" spans="1:23" x14ac:dyDescent="0.25">
      <c r="A443" s="76" t="s">
        <v>879</v>
      </c>
      <c r="B443" s="76" t="s">
        <v>359</v>
      </c>
      <c r="C443" s="76" t="s">
        <v>826</v>
      </c>
      <c r="D443" s="97">
        <v>2</v>
      </c>
      <c r="E443" s="98" t="s">
        <v>325</v>
      </c>
      <c r="F443" s="78">
        <v>84000</v>
      </c>
      <c r="G443" s="97">
        <v>1</v>
      </c>
      <c r="H443" s="98" t="s">
        <v>399</v>
      </c>
      <c r="J443" s="99">
        <f>1+Assumptions!$B$11+INDEX(Assumptions!$B$12:$B$15,D443)*Assumptions!$B$16</f>
        <v>1.35</v>
      </c>
      <c r="K443" s="82">
        <f t="shared" si="42"/>
        <v>113400.00000000001</v>
      </c>
      <c r="L443" s="100">
        <f>IF(E443="Yes",MAX(0,Assumptions!$B$8-G443+1),0)</f>
        <v>8</v>
      </c>
      <c r="M443" s="82">
        <f t="shared" si="43"/>
        <v>75600.000000000015</v>
      </c>
      <c r="N443" s="100">
        <f>MIN(1,SUMIFS(Roster!$N$5:$N$1504,Roster!$B$5:$B$1504,$A443))</f>
        <v>1</v>
      </c>
      <c r="O443" s="100">
        <f>SUMIFS(Roster!$L$5:$L$1504,Roster!$B$5:$B$1504,$A443)</f>
        <v>8</v>
      </c>
      <c r="P443" s="83">
        <f>SUMIFS(Roster!$M$5:$M$1504,Roster!$B$5:$B$1504,$A443)*J443</f>
        <v>75870</v>
      </c>
      <c r="Q443" s="83">
        <f>SUMIFS(Roster!$O$5:$O$1504,Roster!$B$5:$B$1504,$A443)*J443</f>
        <v>113805.00000000001</v>
      </c>
      <c r="R443" s="82">
        <f t="shared" si="44"/>
        <v>113805.00000000001</v>
      </c>
      <c r="S443" s="82">
        <f t="shared" si="45"/>
        <v>0</v>
      </c>
      <c r="T443" s="82">
        <f t="shared" si="46"/>
        <v>-269.99999999998545</v>
      </c>
      <c r="U443" s="82">
        <f t="shared" si="47"/>
        <v>0</v>
      </c>
      <c r="V443" s="83">
        <f>IF(COUNTIFS(Roster!$B$5:$B$1504,$A443,Roster!$G$5:$G$1504,"&gt;0")=0,0,SUMIFS(Roster!$H$5:$H$1504,Roster!$B$5:$B$1504,$A443,Roster!$G$5:$G$1504,_xlfn.MAXIFS(Roster!$G$5:$G$1504,Roster!$B$5:$B$1504,$A443)))</f>
        <v>0</v>
      </c>
      <c r="W443" s="101" t="str">
        <f t="shared" si="48"/>
        <v>Filled</v>
      </c>
    </row>
    <row r="444" spans="1:23" x14ac:dyDescent="0.25">
      <c r="A444" s="76" t="s">
        <v>880</v>
      </c>
      <c r="B444" s="76" t="s">
        <v>359</v>
      </c>
      <c r="C444" s="76" t="s">
        <v>830</v>
      </c>
      <c r="D444" s="97">
        <v>1</v>
      </c>
      <c r="E444" s="98" t="s">
        <v>325</v>
      </c>
      <c r="F444" s="78">
        <v>66000</v>
      </c>
      <c r="G444" s="97">
        <v>1</v>
      </c>
      <c r="H444" s="98" t="s">
        <v>399</v>
      </c>
      <c r="J444" s="99">
        <f>1+Assumptions!$B$11+INDEX(Assumptions!$B$12:$B$15,D444)*Assumptions!$B$16</f>
        <v>1.3</v>
      </c>
      <c r="K444" s="82">
        <f t="shared" si="42"/>
        <v>85800</v>
      </c>
      <c r="L444" s="100">
        <f>IF(E444="Yes",MAX(0,Assumptions!$B$8-G444+1),0)</f>
        <v>8</v>
      </c>
      <c r="M444" s="82">
        <f t="shared" si="43"/>
        <v>57200</v>
      </c>
      <c r="N444" s="100">
        <f>MIN(1,SUMIFS(Roster!$N$5:$N$1504,Roster!$B$5:$B$1504,$A444))</f>
        <v>1</v>
      </c>
      <c r="O444" s="100">
        <f>SUMIFS(Roster!$L$5:$L$1504,Roster!$B$5:$B$1504,$A444)</f>
        <v>8</v>
      </c>
      <c r="P444" s="83">
        <f>SUMIFS(Roster!$M$5:$M$1504,Roster!$B$5:$B$1504,$A444)*J444</f>
        <v>56766.666666666664</v>
      </c>
      <c r="Q444" s="83">
        <f>SUMIFS(Roster!$O$5:$O$1504,Roster!$B$5:$B$1504,$A444)*J444</f>
        <v>85150</v>
      </c>
      <c r="R444" s="82">
        <f t="shared" si="44"/>
        <v>85150</v>
      </c>
      <c r="S444" s="82">
        <f t="shared" si="45"/>
        <v>0</v>
      </c>
      <c r="T444" s="82">
        <f t="shared" si="46"/>
        <v>433.33333333333576</v>
      </c>
      <c r="U444" s="82">
        <f t="shared" si="47"/>
        <v>0</v>
      </c>
      <c r="V444" s="83">
        <f>IF(COUNTIFS(Roster!$B$5:$B$1504,$A444,Roster!$G$5:$G$1504,"&gt;0")=0,0,SUMIFS(Roster!$H$5:$H$1504,Roster!$B$5:$B$1504,$A444,Roster!$G$5:$G$1504,_xlfn.MAXIFS(Roster!$G$5:$G$1504,Roster!$B$5:$B$1504,$A444)))</f>
        <v>0</v>
      </c>
      <c r="W444" s="101" t="str">
        <f t="shared" si="48"/>
        <v>Filled</v>
      </c>
    </row>
    <row r="445" spans="1:23" x14ac:dyDescent="0.25">
      <c r="A445" s="76" t="s">
        <v>881</v>
      </c>
      <c r="B445" s="76" t="s">
        <v>359</v>
      </c>
      <c r="C445" s="76" t="s">
        <v>826</v>
      </c>
      <c r="D445" s="97">
        <v>2</v>
      </c>
      <c r="E445" s="98" t="s">
        <v>325</v>
      </c>
      <c r="F445" s="78">
        <v>80500</v>
      </c>
      <c r="G445" s="97">
        <v>1</v>
      </c>
      <c r="H445" s="98" t="s">
        <v>399</v>
      </c>
      <c r="J445" s="99">
        <f>1+Assumptions!$B$11+INDEX(Assumptions!$B$12:$B$15,D445)*Assumptions!$B$16</f>
        <v>1.35</v>
      </c>
      <c r="K445" s="82">
        <f t="shared" si="42"/>
        <v>108675</v>
      </c>
      <c r="L445" s="100">
        <f>IF(E445="Yes",MAX(0,Assumptions!$B$8-G445+1),0)</f>
        <v>8</v>
      </c>
      <c r="M445" s="82">
        <f t="shared" si="43"/>
        <v>72450</v>
      </c>
      <c r="N445" s="100">
        <f>MIN(1,SUMIFS(Roster!$N$5:$N$1504,Roster!$B$5:$B$1504,$A445))</f>
        <v>0</v>
      </c>
      <c r="O445" s="100">
        <f>SUMIFS(Roster!$L$5:$L$1504,Roster!$B$5:$B$1504,$A445)</f>
        <v>5</v>
      </c>
      <c r="P445" s="83">
        <f>SUMIFS(Roster!$M$5:$M$1504,Roster!$B$5:$B$1504,$A445)*J445</f>
        <v>45731.25</v>
      </c>
      <c r="Q445" s="83">
        <f>SUMIFS(Roster!$O$5:$O$1504,Roster!$B$5:$B$1504,$A445)*J445</f>
        <v>0</v>
      </c>
      <c r="R445" s="82">
        <f t="shared" si="44"/>
        <v>108675</v>
      </c>
      <c r="S445" s="82">
        <f t="shared" si="45"/>
        <v>27168.75</v>
      </c>
      <c r="T445" s="82">
        <f t="shared" si="46"/>
        <v>-450</v>
      </c>
      <c r="U445" s="82">
        <f t="shared" si="47"/>
        <v>0</v>
      </c>
      <c r="V445" s="83">
        <f>IF(COUNTIFS(Roster!$B$5:$B$1504,$A445,Roster!$G$5:$G$1504,"&gt;0")=0,0,SUMIFS(Roster!$H$5:$H$1504,Roster!$B$5:$B$1504,$A445,Roster!$G$5:$G$1504,_xlfn.MAXIFS(Roster!$G$5:$G$1504,Roster!$B$5:$B$1504,$A445)))</f>
        <v>81300</v>
      </c>
      <c r="W445" s="101" t="str">
        <f t="shared" si="48"/>
        <v>Open: to fill</v>
      </c>
    </row>
    <row r="446" spans="1:23" x14ac:dyDescent="0.25">
      <c r="A446" s="76" t="s">
        <v>882</v>
      </c>
      <c r="B446" s="76" t="s">
        <v>359</v>
      </c>
      <c r="C446" s="76" t="s">
        <v>830</v>
      </c>
      <c r="D446" s="97">
        <v>1</v>
      </c>
      <c r="E446" s="98" t="s">
        <v>325</v>
      </c>
      <c r="F446" s="78">
        <v>68500</v>
      </c>
      <c r="G446" s="97">
        <v>1</v>
      </c>
      <c r="H446" s="98" t="s">
        <v>399</v>
      </c>
      <c r="J446" s="99">
        <f>1+Assumptions!$B$11+INDEX(Assumptions!$B$12:$B$15,D446)*Assumptions!$B$16</f>
        <v>1.3</v>
      </c>
      <c r="K446" s="82">
        <f t="shared" si="42"/>
        <v>89050</v>
      </c>
      <c r="L446" s="100">
        <f>IF(E446="Yes",MAX(0,Assumptions!$B$8-G446+1),0)</f>
        <v>8</v>
      </c>
      <c r="M446" s="82">
        <f t="shared" si="43"/>
        <v>59366.666666666664</v>
      </c>
      <c r="N446" s="100">
        <f>MIN(1,SUMIFS(Roster!$N$5:$N$1504,Roster!$B$5:$B$1504,$A446))</f>
        <v>1</v>
      </c>
      <c r="O446" s="100">
        <f>SUMIFS(Roster!$L$5:$L$1504,Roster!$B$5:$B$1504,$A446)</f>
        <v>8</v>
      </c>
      <c r="P446" s="83">
        <f>SUMIFS(Roster!$M$5:$M$1504,Roster!$B$5:$B$1504,$A446)*J446</f>
        <v>59106.666666666664</v>
      </c>
      <c r="Q446" s="83">
        <f>SUMIFS(Roster!$O$5:$O$1504,Roster!$B$5:$B$1504,$A446)*J446</f>
        <v>88660</v>
      </c>
      <c r="R446" s="82">
        <f t="shared" si="44"/>
        <v>88660</v>
      </c>
      <c r="S446" s="82">
        <f t="shared" si="45"/>
        <v>0</v>
      </c>
      <c r="T446" s="82">
        <f t="shared" si="46"/>
        <v>260</v>
      </c>
      <c r="U446" s="82">
        <f t="shared" si="47"/>
        <v>0</v>
      </c>
      <c r="V446" s="83">
        <f>IF(COUNTIFS(Roster!$B$5:$B$1504,$A446,Roster!$G$5:$G$1504,"&gt;0")=0,0,SUMIFS(Roster!$H$5:$H$1504,Roster!$B$5:$B$1504,$A446,Roster!$G$5:$G$1504,_xlfn.MAXIFS(Roster!$G$5:$G$1504,Roster!$B$5:$B$1504,$A446)))</f>
        <v>0</v>
      </c>
      <c r="W446" s="101" t="str">
        <f t="shared" si="48"/>
        <v>Filled</v>
      </c>
    </row>
    <row r="447" spans="1:23" x14ac:dyDescent="0.25">
      <c r="A447" s="76" t="s">
        <v>883</v>
      </c>
      <c r="B447" s="76" t="s">
        <v>359</v>
      </c>
      <c r="C447" s="76" t="s">
        <v>830</v>
      </c>
      <c r="D447" s="97">
        <v>1</v>
      </c>
      <c r="E447" s="98" t="s">
        <v>325</v>
      </c>
      <c r="F447" s="78">
        <v>61000</v>
      </c>
      <c r="G447" s="97">
        <v>1</v>
      </c>
      <c r="H447" s="98" t="s">
        <v>399</v>
      </c>
      <c r="J447" s="99">
        <f>1+Assumptions!$B$11+INDEX(Assumptions!$B$12:$B$15,D447)*Assumptions!$B$16</f>
        <v>1.3</v>
      </c>
      <c r="K447" s="82">
        <f t="shared" si="42"/>
        <v>79300</v>
      </c>
      <c r="L447" s="100">
        <f>IF(E447="Yes",MAX(0,Assumptions!$B$8-G447+1),0)</f>
        <v>8</v>
      </c>
      <c r="M447" s="82">
        <f t="shared" si="43"/>
        <v>52866.666666666664</v>
      </c>
      <c r="N447" s="100">
        <f>MIN(1,SUMIFS(Roster!$N$5:$N$1504,Roster!$B$5:$B$1504,$A447))</f>
        <v>1</v>
      </c>
      <c r="O447" s="100">
        <f>SUMIFS(Roster!$L$5:$L$1504,Roster!$B$5:$B$1504,$A447)</f>
        <v>8</v>
      </c>
      <c r="P447" s="83">
        <f>SUMIFS(Roster!$M$5:$M$1504,Roster!$B$5:$B$1504,$A447)*J447</f>
        <v>53126.666666666664</v>
      </c>
      <c r="Q447" s="83">
        <f>SUMIFS(Roster!$O$5:$O$1504,Roster!$B$5:$B$1504,$A447)*J447</f>
        <v>79690</v>
      </c>
      <c r="R447" s="82">
        <f t="shared" si="44"/>
        <v>79690</v>
      </c>
      <c r="S447" s="82">
        <f t="shared" si="45"/>
        <v>0</v>
      </c>
      <c r="T447" s="82">
        <f t="shared" si="46"/>
        <v>-260</v>
      </c>
      <c r="U447" s="82">
        <f t="shared" si="47"/>
        <v>0</v>
      </c>
      <c r="V447" s="83">
        <f>IF(COUNTIFS(Roster!$B$5:$B$1504,$A447,Roster!$G$5:$G$1504,"&gt;0")=0,0,SUMIFS(Roster!$H$5:$H$1504,Roster!$B$5:$B$1504,$A447,Roster!$G$5:$G$1504,_xlfn.MAXIFS(Roster!$G$5:$G$1504,Roster!$B$5:$B$1504,$A447)))</f>
        <v>0</v>
      </c>
      <c r="W447" s="101" t="str">
        <f t="shared" si="48"/>
        <v>Filled</v>
      </c>
    </row>
    <row r="448" spans="1:23" x14ac:dyDescent="0.25">
      <c r="A448" s="76" t="s">
        <v>884</v>
      </c>
      <c r="B448" s="76" t="s">
        <v>359</v>
      </c>
      <c r="C448" s="76" t="s">
        <v>826</v>
      </c>
      <c r="D448" s="97">
        <v>2</v>
      </c>
      <c r="E448" s="98" t="s">
        <v>325</v>
      </c>
      <c r="F448" s="78">
        <v>87000</v>
      </c>
      <c r="G448" s="97">
        <v>1</v>
      </c>
      <c r="H448" s="98" t="s">
        <v>399</v>
      </c>
      <c r="J448" s="99">
        <f>1+Assumptions!$B$11+INDEX(Assumptions!$B$12:$B$15,D448)*Assumptions!$B$16</f>
        <v>1.35</v>
      </c>
      <c r="K448" s="82">
        <f t="shared" si="42"/>
        <v>117450.00000000001</v>
      </c>
      <c r="L448" s="100">
        <f>IF(E448="Yes",MAX(0,Assumptions!$B$8-G448+1),0)</f>
        <v>8</v>
      </c>
      <c r="M448" s="82">
        <f t="shared" si="43"/>
        <v>78300.000000000015</v>
      </c>
      <c r="N448" s="100">
        <f>MIN(1,SUMIFS(Roster!$N$5:$N$1504,Roster!$B$5:$B$1504,$A448))</f>
        <v>1</v>
      </c>
      <c r="O448" s="100">
        <f>SUMIFS(Roster!$L$5:$L$1504,Roster!$B$5:$B$1504,$A448)</f>
        <v>8</v>
      </c>
      <c r="P448" s="83">
        <f>SUMIFS(Roster!$M$5:$M$1504,Roster!$B$5:$B$1504,$A448)*J448</f>
        <v>79200</v>
      </c>
      <c r="Q448" s="83">
        <f>SUMIFS(Roster!$O$5:$O$1504,Roster!$B$5:$B$1504,$A448)*J448</f>
        <v>118800.00000000001</v>
      </c>
      <c r="R448" s="82">
        <f t="shared" si="44"/>
        <v>118800.00000000001</v>
      </c>
      <c r="S448" s="82">
        <f t="shared" si="45"/>
        <v>0</v>
      </c>
      <c r="T448" s="82">
        <f t="shared" si="46"/>
        <v>-899.99999999998545</v>
      </c>
      <c r="U448" s="82">
        <f t="shared" si="47"/>
        <v>0</v>
      </c>
      <c r="V448" s="83">
        <f>IF(COUNTIFS(Roster!$B$5:$B$1504,$A448,Roster!$G$5:$G$1504,"&gt;0")=0,0,SUMIFS(Roster!$H$5:$H$1504,Roster!$B$5:$B$1504,$A448,Roster!$G$5:$G$1504,_xlfn.MAXIFS(Roster!$G$5:$G$1504,Roster!$B$5:$B$1504,$A448)))</f>
        <v>0</v>
      </c>
      <c r="W448" s="101" t="str">
        <f t="shared" si="48"/>
        <v>Filled</v>
      </c>
    </row>
    <row r="449" spans="1:23" x14ac:dyDescent="0.25">
      <c r="A449" s="76" t="s">
        <v>885</v>
      </c>
      <c r="B449" s="76" t="s">
        <v>359</v>
      </c>
      <c r="C449" s="76" t="s">
        <v>828</v>
      </c>
      <c r="D449" s="97">
        <v>3</v>
      </c>
      <c r="E449" s="98" t="s">
        <v>325</v>
      </c>
      <c r="F449" s="78">
        <v>125000</v>
      </c>
      <c r="G449" s="97">
        <v>1</v>
      </c>
      <c r="H449" s="98" t="s">
        <v>399</v>
      </c>
      <c r="J449" s="99">
        <f>1+Assumptions!$B$11+INDEX(Assumptions!$B$12:$B$15,D449)*Assumptions!$B$16</f>
        <v>1.4</v>
      </c>
      <c r="K449" s="82">
        <f t="shared" si="42"/>
        <v>175000</v>
      </c>
      <c r="L449" s="100">
        <f>IF(E449="Yes",MAX(0,Assumptions!$B$8-G449+1),0)</f>
        <v>8</v>
      </c>
      <c r="M449" s="82">
        <f t="shared" si="43"/>
        <v>116666.66666666667</v>
      </c>
      <c r="N449" s="100">
        <f>MIN(1,SUMIFS(Roster!$N$5:$N$1504,Roster!$B$5:$B$1504,$A449))</f>
        <v>1</v>
      </c>
      <c r="O449" s="100">
        <f>SUMIFS(Roster!$L$5:$L$1504,Roster!$B$5:$B$1504,$A449)</f>
        <v>8</v>
      </c>
      <c r="P449" s="83">
        <f>SUMIFS(Roster!$M$5:$M$1504,Roster!$B$5:$B$1504,$A449)*J449</f>
        <v>120236.66666666667</v>
      </c>
      <c r="Q449" s="83">
        <f>SUMIFS(Roster!$O$5:$O$1504,Roster!$B$5:$B$1504,$A449)*J449</f>
        <v>183400</v>
      </c>
      <c r="R449" s="82">
        <f t="shared" si="44"/>
        <v>183400</v>
      </c>
      <c r="S449" s="82">
        <f t="shared" si="45"/>
        <v>0</v>
      </c>
      <c r="T449" s="82">
        <f t="shared" si="46"/>
        <v>-3570</v>
      </c>
      <c r="U449" s="82">
        <f t="shared" si="47"/>
        <v>0</v>
      </c>
      <c r="V449" s="83">
        <f>IF(COUNTIFS(Roster!$B$5:$B$1504,$A449,Roster!$G$5:$G$1504,"&gt;0")=0,0,SUMIFS(Roster!$H$5:$H$1504,Roster!$B$5:$B$1504,$A449,Roster!$G$5:$G$1504,_xlfn.MAXIFS(Roster!$G$5:$G$1504,Roster!$B$5:$B$1504,$A449)))</f>
        <v>125200</v>
      </c>
      <c r="W449" s="101" t="str">
        <f t="shared" si="48"/>
        <v>Filled</v>
      </c>
    </row>
    <row r="450" spans="1:23" x14ac:dyDescent="0.25">
      <c r="A450" s="76" t="s">
        <v>886</v>
      </c>
      <c r="B450" s="76" t="s">
        <v>359</v>
      </c>
      <c r="C450" s="76" t="s">
        <v>826</v>
      </c>
      <c r="D450" s="97">
        <v>2</v>
      </c>
      <c r="E450" s="98" t="s">
        <v>325</v>
      </c>
      <c r="F450" s="78">
        <v>81500</v>
      </c>
      <c r="G450" s="97">
        <v>1</v>
      </c>
      <c r="H450" s="98" t="s">
        <v>399</v>
      </c>
      <c r="J450" s="99">
        <f>1+Assumptions!$B$11+INDEX(Assumptions!$B$12:$B$15,D450)*Assumptions!$B$16</f>
        <v>1.35</v>
      </c>
      <c r="K450" s="82">
        <f t="shared" si="42"/>
        <v>110025</v>
      </c>
      <c r="L450" s="100">
        <f>IF(E450="Yes",MAX(0,Assumptions!$B$8-G450+1),0)</f>
        <v>8</v>
      </c>
      <c r="M450" s="82">
        <f t="shared" si="43"/>
        <v>73350</v>
      </c>
      <c r="N450" s="100">
        <f>MIN(1,SUMIFS(Roster!$N$5:$N$1504,Roster!$B$5:$B$1504,$A450))</f>
        <v>1</v>
      </c>
      <c r="O450" s="100">
        <f>SUMIFS(Roster!$L$5:$L$1504,Roster!$B$5:$B$1504,$A450)</f>
        <v>8</v>
      </c>
      <c r="P450" s="83">
        <f>SUMIFS(Roster!$M$5:$M$1504,Roster!$B$5:$B$1504,$A450)*J450</f>
        <v>73890.000000000015</v>
      </c>
      <c r="Q450" s="83">
        <f>SUMIFS(Roster!$O$5:$O$1504,Roster!$B$5:$B$1504,$A450)*J450</f>
        <v>110835.00000000001</v>
      </c>
      <c r="R450" s="82">
        <f t="shared" si="44"/>
        <v>110835.00000000001</v>
      </c>
      <c r="S450" s="82">
        <f t="shared" si="45"/>
        <v>0</v>
      </c>
      <c r="T450" s="82">
        <f t="shared" si="46"/>
        <v>-540.00000000001455</v>
      </c>
      <c r="U450" s="82">
        <f t="shared" si="47"/>
        <v>0</v>
      </c>
      <c r="V450" s="83">
        <f>IF(COUNTIFS(Roster!$B$5:$B$1504,$A450,Roster!$G$5:$G$1504,"&gt;0")=0,0,SUMIFS(Roster!$H$5:$H$1504,Roster!$B$5:$B$1504,$A450,Roster!$G$5:$G$1504,_xlfn.MAXIFS(Roster!$G$5:$G$1504,Roster!$B$5:$B$1504,$A450)))</f>
        <v>0</v>
      </c>
      <c r="W450" s="101" t="str">
        <f t="shared" si="48"/>
        <v>Filled</v>
      </c>
    </row>
    <row r="451" spans="1:23" x14ac:dyDescent="0.25">
      <c r="A451" s="76" t="s">
        <v>887</v>
      </c>
      <c r="B451" s="76" t="s">
        <v>359</v>
      </c>
      <c r="C451" s="76" t="s">
        <v>826</v>
      </c>
      <c r="D451" s="97">
        <v>2</v>
      </c>
      <c r="E451" s="98" t="s">
        <v>325</v>
      </c>
      <c r="F451" s="78">
        <v>74500</v>
      </c>
      <c r="G451" s="97">
        <v>1</v>
      </c>
      <c r="H451" s="98" t="s">
        <v>399</v>
      </c>
      <c r="J451" s="99">
        <f>1+Assumptions!$B$11+INDEX(Assumptions!$B$12:$B$15,D451)*Assumptions!$B$16</f>
        <v>1.35</v>
      </c>
      <c r="K451" s="82">
        <f t="shared" si="42"/>
        <v>100575</v>
      </c>
      <c r="L451" s="100">
        <f>IF(E451="Yes",MAX(0,Assumptions!$B$8-G451+1),0)</f>
        <v>8</v>
      </c>
      <c r="M451" s="82">
        <f t="shared" si="43"/>
        <v>67050</v>
      </c>
      <c r="N451" s="100">
        <f>MIN(1,SUMIFS(Roster!$N$5:$N$1504,Roster!$B$5:$B$1504,$A451))</f>
        <v>1</v>
      </c>
      <c r="O451" s="100">
        <f>SUMIFS(Roster!$L$5:$L$1504,Roster!$B$5:$B$1504,$A451)</f>
        <v>8</v>
      </c>
      <c r="P451" s="83">
        <f>SUMIFS(Roster!$M$5:$M$1504,Roster!$B$5:$B$1504,$A451)*J451</f>
        <v>66510</v>
      </c>
      <c r="Q451" s="83">
        <f>SUMIFS(Roster!$O$5:$O$1504,Roster!$B$5:$B$1504,$A451)*J451</f>
        <v>99765</v>
      </c>
      <c r="R451" s="82">
        <f t="shared" si="44"/>
        <v>99765</v>
      </c>
      <c r="S451" s="82">
        <f t="shared" si="45"/>
        <v>0</v>
      </c>
      <c r="T451" s="82">
        <f t="shared" si="46"/>
        <v>540</v>
      </c>
      <c r="U451" s="82">
        <f t="shared" si="47"/>
        <v>0</v>
      </c>
      <c r="V451" s="83">
        <f>IF(COUNTIFS(Roster!$B$5:$B$1504,$A451,Roster!$G$5:$G$1504,"&gt;0")=0,0,SUMIFS(Roster!$H$5:$H$1504,Roster!$B$5:$B$1504,$A451,Roster!$G$5:$G$1504,_xlfn.MAXIFS(Roster!$G$5:$G$1504,Roster!$B$5:$B$1504,$A451)))</f>
        <v>0</v>
      </c>
      <c r="W451" s="101" t="str">
        <f t="shared" si="48"/>
        <v>Filled</v>
      </c>
    </row>
    <row r="452" spans="1:23" x14ac:dyDescent="0.25">
      <c r="A452" s="76" t="s">
        <v>888</v>
      </c>
      <c r="B452" s="76" t="s">
        <v>359</v>
      </c>
      <c r="C452" s="76" t="s">
        <v>826</v>
      </c>
      <c r="D452" s="97">
        <v>2</v>
      </c>
      <c r="E452" s="98" t="s">
        <v>325</v>
      </c>
      <c r="F452" s="78">
        <v>90500</v>
      </c>
      <c r="G452" s="97">
        <v>1</v>
      </c>
      <c r="H452" s="98" t="s">
        <v>399</v>
      </c>
      <c r="J452" s="99">
        <f>1+Assumptions!$B$11+INDEX(Assumptions!$B$12:$B$15,D452)*Assumptions!$B$16</f>
        <v>1.35</v>
      </c>
      <c r="K452" s="82">
        <f t="shared" si="42"/>
        <v>122175.00000000001</v>
      </c>
      <c r="L452" s="100">
        <f>IF(E452="Yes",MAX(0,Assumptions!$B$8-G452+1),0)</f>
        <v>8</v>
      </c>
      <c r="M452" s="82">
        <f t="shared" si="43"/>
        <v>81450.000000000015</v>
      </c>
      <c r="N452" s="100">
        <f>MIN(1,SUMIFS(Roster!$N$5:$N$1504,Roster!$B$5:$B$1504,$A452))</f>
        <v>1</v>
      </c>
      <c r="O452" s="100">
        <f>SUMIFS(Roster!$L$5:$L$1504,Roster!$B$5:$B$1504,$A452)</f>
        <v>8</v>
      </c>
      <c r="P452" s="83">
        <f>SUMIFS(Roster!$M$5:$M$1504,Roster!$B$5:$B$1504,$A452)*J452</f>
        <v>80640.000000000015</v>
      </c>
      <c r="Q452" s="83">
        <f>SUMIFS(Roster!$O$5:$O$1504,Roster!$B$5:$B$1504,$A452)*J452</f>
        <v>120960.00000000001</v>
      </c>
      <c r="R452" s="82">
        <f t="shared" si="44"/>
        <v>120960.00000000001</v>
      </c>
      <c r="S452" s="82">
        <f t="shared" si="45"/>
        <v>0</v>
      </c>
      <c r="T452" s="82">
        <f t="shared" si="46"/>
        <v>810</v>
      </c>
      <c r="U452" s="82">
        <f t="shared" si="47"/>
        <v>0</v>
      </c>
      <c r="V452" s="83">
        <f>IF(COUNTIFS(Roster!$B$5:$B$1504,$A452,Roster!$G$5:$G$1504,"&gt;0")=0,0,SUMIFS(Roster!$H$5:$H$1504,Roster!$B$5:$B$1504,$A452,Roster!$G$5:$G$1504,_xlfn.MAXIFS(Roster!$G$5:$G$1504,Roster!$B$5:$B$1504,$A452)))</f>
        <v>0</v>
      </c>
      <c r="W452" s="101" t="str">
        <f t="shared" si="48"/>
        <v>Filled</v>
      </c>
    </row>
    <row r="453" spans="1:23" x14ac:dyDescent="0.25">
      <c r="A453" s="76" t="s">
        <v>889</v>
      </c>
      <c r="B453" s="76" t="s">
        <v>359</v>
      </c>
      <c r="C453" s="76" t="s">
        <v>826</v>
      </c>
      <c r="D453" s="97">
        <v>2</v>
      </c>
      <c r="E453" s="98" t="s">
        <v>325</v>
      </c>
      <c r="F453" s="78">
        <v>79000</v>
      </c>
      <c r="G453" s="97">
        <v>1</v>
      </c>
      <c r="H453" s="98" t="s">
        <v>399</v>
      </c>
      <c r="J453" s="99">
        <f>1+Assumptions!$B$11+INDEX(Assumptions!$B$12:$B$15,D453)*Assumptions!$B$16</f>
        <v>1.35</v>
      </c>
      <c r="K453" s="82">
        <f t="shared" ref="K453:K516" si="49">IF(E453="Yes",F453*J453,0)</f>
        <v>106650</v>
      </c>
      <c r="L453" s="100">
        <f>IF(E453="Yes",MAX(0,Assumptions!$B$8-G453+1),0)</f>
        <v>8</v>
      </c>
      <c r="M453" s="82">
        <f t="shared" ref="M453:M516" si="50">K453/12*L453</f>
        <v>71100</v>
      </c>
      <c r="N453" s="100">
        <f>MIN(1,SUMIFS(Roster!$N$5:$N$1504,Roster!$B$5:$B$1504,$A453))</f>
        <v>1</v>
      </c>
      <c r="O453" s="100">
        <f>SUMIFS(Roster!$L$5:$L$1504,Roster!$B$5:$B$1504,$A453)</f>
        <v>8</v>
      </c>
      <c r="P453" s="83">
        <f>SUMIFS(Roster!$M$5:$M$1504,Roster!$B$5:$B$1504,$A453)*J453</f>
        <v>71730.000000000015</v>
      </c>
      <c r="Q453" s="83">
        <f>SUMIFS(Roster!$O$5:$O$1504,Roster!$B$5:$B$1504,$A453)*J453</f>
        <v>107595</v>
      </c>
      <c r="R453" s="82">
        <f t="shared" ref="R453:R516" si="51">IF(N453=1,Q453,IF(AND(E453="Yes",H453="Fill"),K453,0))</f>
        <v>107595</v>
      </c>
      <c r="S453" s="82">
        <f t="shared" ref="S453:S516" si="52">(L453-O453)*K453/12</f>
        <v>0</v>
      </c>
      <c r="T453" s="82">
        <f t="shared" ref="T453:T516" si="53">IF(E453="Yes",O453*K453/12-P453,0)</f>
        <v>-630.00000000001455</v>
      </c>
      <c r="U453" s="82">
        <f t="shared" ref="U453:U516" si="54">IF(E453="No",-P453,0)</f>
        <v>0</v>
      </c>
      <c r="V453" s="83">
        <f>IF(COUNTIFS(Roster!$B$5:$B$1504,$A453,Roster!$G$5:$G$1504,"&gt;0")=0,0,SUMIFS(Roster!$H$5:$H$1504,Roster!$B$5:$B$1504,$A453,Roster!$G$5:$G$1504,_xlfn.MAXIFS(Roster!$G$5:$G$1504,Roster!$B$5:$B$1504,$A453)))</f>
        <v>0</v>
      </c>
      <c r="W453" s="101" t="str">
        <f t="shared" ref="W453:W516" si="55">IF(N453=1,IF(E453="Yes","Filled","Unbudgeted hire"),IF(E453="Yes",IF(H453="Hold","Open: on hold","Open: to fill"),"Unbudgeted (left)"))</f>
        <v>Filled</v>
      </c>
    </row>
    <row r="454" spans="1:23" x14ac:dyDescent="0.25">
      <c r="A454" s="76" t="s">
        <v>890</v>
      </c>
      <c r="B454" s="76" t="s">
        <v>359</v>
      </c>
      <c r="C454" s="76" t="s">
        <v>828</v>
      </c>
      <c r="D454" s="97">
        <v>3</v>
      </c>
      <c r="E454" s="98" t="s">
        <v>325</v>
      </c>
      <c r="F454" s="78">
        <v>134000</v>
      </c>
      <c r="G454" s="97">
        <v>1</v>
      </c>
      <c r="H454" s="98" t="s">
        <v>399</v>
      </c>
      <c r="J454" s="99">
        <f>1+Assumptions!$B$11+INDEX(Assumptions!$B$12:$B$15,D454)*Assumptions!$B$16</f>
        <v>1.4</v>
      </c>
      <c r="K454" s="82">
        <f t="shared" si="49"/>
        <v>187600</v>
      </c>
      <c r="L454" s="100">
        <f>IF(E454="Yes",MAX(0,Assumptions!$B$8-G454+1),0)</f>
        <v>8</v>
      </c>
      <c r="M454" s="82">
        <f t="shared" si="50"/>
        <v>125066.66666666667</v>
      </c>
      <c r="N454" s="100">
        <f>MIN(1,SUMIFS(Roster!$N$5:$N$1504,Roster!$B$5:$B$1504,$A454))</f>
        <v>1</v>
      </c>
      <c r="O454" s="100">
        <f>SUMIFS(Roster!$L$5:$L$1504,Roster!$B$5:$B$1504,$A454)</f>
        <v>8</v>
      </c>
      <c r="P454" s="83">
        <f>SUMIFS(Roster!$M$5:$M$1504,Roster!$B$5:$B$1504,$A454)*J454</f>
        <v>125439.99999999999</v>
      </c>
      <c r="Q454" s="83">
        <f>SUMIFS(Roster!$O$5:$O$1504,Roster!$B$5:$B$1504,$A454)*J454</f>
        <v>188160</v>
      </c>
      <c r="R454" s="82">
        <f t="shared" si="51"/>
        <v>188160</v>
      </c>
      <c r="S454" s="82">
        <f t="shared" si="52"/>
        <v>0</v>
      </c>
      <c r="T454" s="82">
        <f t="shared" si="53"/>
        <v>-373.33333333331393</v>
      </c>
      <c r="U454" s="82">
        <f t="shared" si="54"/>
        <v>0</v>
      </c>
      <c r="V454" s="83">
        <f>IF(COUNTIFS(Roster!$B$5:$B$1504,$A454,Roster!$G$5:$G$1504,"&gt;0")=0,0,SUMIFS(Roster!$H$5:$H$1504,Roster!$B$5:$B$1504,$A454,Roster!$G$5:$G$1504,_xlfn.MAXIFS(Roster!$G$5:$G$1504,Roster!$B$5:$B$1504,$A454)))</f>
        <v>0</v>
      </c>
      <c r="W454" s="101" t="str">
        <f t="shared" si="55"/>
        <v>Filled</v>
      </c>
    </row>
    <row r="455" spans="1:23" x14ac:dyDescent="0.25">
      <c r="A455" s="76" t="s">
        <v>891</v>
      </c>
      <c r="B455" s="76" t="s">
        <v>359</v>
      </c>
      <c r="C455" s="76" t="s">
        <v>830</v>
      </c>
      <c r="D455" s="97">
        <v>1</v>
      </c>
      <c r="E455" s="98" t="s">
        <v>325</v>
      </c>
      <c r="F455" s="78">
        <v>66500</v>
      </c>
      <c r="G455" s="97">
        <v>1</v>
      </c>
      <c r="H455" s="98" t="s">
        <v>399</v>
      </c>
      <c r="J455" s="99">
        <f>1+Assumptions!$B$11+INDEX(Assumptions!$B$12:$B$15,D455)*Assumptions!$B$16</f>
        <v>1.3</v>
      </c>
      <c r="K455" s="82">
        <f t="shared" si="49"/>
        <v>86450</v>
      </c>
      <c r="L455" s="100">
        <f>IF(E455="Yes",MAX(0,Assumptions!$B$8-G455+1),0)</f>
        <v>8</v>
      </c>
      <c r="M455" s="82">
        <f t="shared" si="50"/>
        <v>57633.333333333336</v>
      </c>
      <c r="N455" s="100">
        <f>MIN(1,SUMIFS(Roster!$N$5:$N$1504,Roster!$B$5:$B$1504,$A455))</f>
        <v>1</v>
      </c>
      <c r="O455" s="100">
        <f>SUMIFS(Roster!$L$5:$L$1504,Roster!$B$5:$B$1504,$A455)</f>
        <v>8</v>
      </c>
      <c r="P455" s="83">
        <f>SUMIFS(Roster!$M$5:$M$1504,Roster!$B$5:$B$1504,$A455)*J455</f>
        <v>57026.666666666664</v>
      </c>
      <c r="Q455" s="83">
        <f>SUMIFS(Roster!$O$5:$O$1504,Roster!$B$5:$B$1504,$A455)*J455</f>
        <v>85540</v>
      </c>
      <c r="R455" s="82">
        <f t="shared" si="51"/>
        <v>85540</v>
      </c>
      <c r="S455" s="82">
        <f t="shared" si="52"/>
        <v>0</v>
      </c>
      <c r="T455" s="82">
        <f t="shared" si="53"/>
        <v>606.66666666667152</v>
      </c>
      <c r="U455" s="82">
        <f t="shared" si="54"/>
        <v>0</v>
      </c>
      <c r="V455" s="83">
        <f>IF(COUNTIFS(Roster!$B$5:$B$1504,$A455,Roster!$G$5:$G$1504,"&gt;0")=0,0,SUMIFS(Roster!$H$5:$H$1504,Roster!$B$5:$B$1504,$A455,Roster!$G$5:$G$1504,_xlfn.MAXIFS(Roster!$G$5:$G$1504,Roster!$B$5:$B$1504,$A455)))</f>
        <v>0</v>
      </c>
      <c r="W455" s="101" t="str">
        <f t="shared" si="55"/>
        <v>Filled</v>
      </c>
    </row>
    <row r="456" spans="1:23" x14ac:dyDescent="0.25">
      <c r="A456" s="76" t="s">
        <v>892</v>
      </c>
      <c r="B456" s="76" t="s">
        <v>359</v>
      </c>
      <c r="C456" s="76" t="s">
        <v>828</v>
      </c>
      <c r="D456" s="97">
        <v>3</v>
      </c>
      <c r="E456" s="98" t="s">
        <v>325</v>
      </c>
      <c r="F456" s="78">
        <v>102000</v>
      </c>
      <c r="G456" s="97">
        <v>1</v>
      </c>
      <c r="H456" s="98" t="s">
        <v>399</v>
      </c>
      <c r="J456" s="99">
        <f>1+Assumptions!$B$11+INDEX(Assumptions!$B$12:$B$15,D456)*Assumptions!$B$16</f>
        <v>1.4</v>
      </c>
      <c r="K456" s="82">
        <f t="shared" si="49"/>
        <v>142800</v>
      </c>
      <c r="L456" s="100">
        <f>IF(E456="Yes",MAX(0,Assumptions!$B$8-G456+1),0)</f>
        <v>8</v>
      </c>
      <c r="M456" s="82">
        <f t="shared" si="50"/>
        <v>95200</v>
      </c>
      <c r="N456" s="100">
        <f>MIN(1,SUMIFS(Roster!$N$5:$N$1504,Roster!$B$5:$B$1504,$A456))</f>
        <v>1</v>
      </c>
      <c r="O456" s="100">
        <f>SUMIFS(Roster!$L$5:$L$1504,Roster!$B$5:$B$1504,$A456)</f>
        <v>8</v>
      </c>
      <c r="P456" s="83">
        <f>SUMIFS(Roster!$M$5:$M$1504,Roster!$B$5:$B$1504,$A456)*J456</f>
        <v>94640</v>
      </c>
      <c r="Q456" s="83">
        <f>SUMIFS(Roster!$O$5:$O$1504,Roster!$B$5:$B$1504,$A456)*J456</f>
        <v>141960</v>
      </c>
      <c r="R456" s="82">
        <f t="shared" si="51"/>
        <v>141960</v>
      </c>
      <c r="S456" s="82">
        <f t="shared" si="52"/>
        <v>0</v>
      </c>
      <c r="T456" s="82">
        <f t="shared" si="53"/>
        <v>560</v>
      </c>
      <c r="U456" s="82">
        <f t="shared" si="54"/>
        <v>0</v>
      </c>
      <c r="V456" s="83">
        <f>IF(COUNTIFS(Roster!$B$5:$B$1504,$A456,Roster!$G$5:$G$1504,"&gt;0")=0,0,SUMIFS(Roster!$H$5:$H$1504,Roster!$B$5:$B$1504,$A456,Roster!$G$5:$G$1504,_xlfn.MAXIFS(Roster!$G$5:$G$1504,Roster!$B$5:$B$1504,$A456)))</f>
        <v>0</v>
      </c>
      <c r="W456" s="101" t="str">
        <f t="shared" si="55"/>
        <v>Filled</v>
      </c>
    </row>
    <row r="457" spans="1:23" x14ac:dyDescent="0.25">
      <c r="A457" s="76" t="s">
        <v>893</v>
      </c>
      <c r="B457" s="76" t="s">
        <v>359</v>
      </c>
      <c r="C457" s="76" t="s">
        <v>826</v>
      </c>
      <c r="D457" s="97">
        <v>2</v>
      </c>
      <c r="E457" s="98" t="s">
        <v>325</v>
      </c>
      <c r="F457" s="78">
        <v>78000</v>
      </c>
      <c r="G457" s="97">
        <v>1</v>
      </c>
      <c r="H457" s="98" t="s">
        <v>399</v>
      </c>
      <c r="J457" s="99">
        <f>1+Assumptions!$B$11+INDEX(Assumptions!$B$12:$B$15,D457)*Assumptions!$B$16</f>
        <v>1.35</v>
      </c>
      <c r="K457" s="82">
        <f t="shared" si="49"/>
        <v>105300</v>
      </c>
      <c r="L457" s="100">
        <f>IF(E457="Yes",MAX(0,Assumptions!$B$8-G457+1),0)</f>
        <v>8</v>
      </c>
      <c r="M457" s="82">
        <f t="shared" si="50"/>
        <v>70200</v>
      </c>
      <c r="N457" s="100">
        <f>MIN(1,SUMIFS(Roster!$N$5:$N$1504,Roster!$B$5:$B$1504,$A457))</f>
        <v>1</v>
      </c>
      <c r="O457" s="100">
        <f>SUMIFS(Roster!$L$5:$L$1504,Roster!$B$5:$B$1504,$A457)</f>
        <v>6</v>
      </c>
      <c r="P457" s="83">
        <f>SUMIFS(Roster!$M$5:$M$1504,Roster!$B$5:$B$1504,$A457)*J457</f>
        <v>55080</v>
      </c>
      <c r="Q457" s="83">
        <f>SUMIFS(Roster!$O$5:$O$1504,Roster!$B$5:$B$1504,$A457)*J457</f>
        <v>114750.00000000001</v>
      </c>
      <c r="R457" s="82">
        <f t="shared" si="51"/>
        <v>114750.00000000001</v>
      </c>
      <c r="S457" s="82">
        <f t="shared" si="52"/>
        <v>17550</v>
      </c>
      <c r="T457" s="82">
        <f t="shared" si="53"/>
        <v>-2430</v>
      </c>
      <c r="U457" s="82">
        <f t="shared" si="54"/>
        <v>0</v>
      </c>
      <c r="V457" s="83">
        <f>IF(COUNTIFS(Roster!$B$5:$B$1504,$A457,Roster!$G$5:$G$1504,"&gt;0")=0,0,SUMIFS(Roster!$H$5:$H$1504,Roster!$B$5:$B$1504,$A457,Roster!$G$5:$G$1504,_xlfn.MAXIFS(Roster!$G$5:$G$1504,Roster!$B$5:$B$1504,$A457)))</f>
        <v>78200</v>
      </c>
      <c r="W457" s="101" t="str">
        <f t="shared" si="55"/>
        <v>Filled</v>
      </c>
    </row>
    <row r="458" spans="1:23" x14ac:dyDescent="0.25">
      <c r="A458" s="76" t="s">
        <v>894</v>
      </c>
      <c r="B458" s="76" t="s">
        <v>359</v>
      </c>
      <c r="C458" s="76" t="s">
        <v>830</v>
      </c>
      <c r="D458" s="97">
        <v>1</v>
      </c>
      <c r="E458" s="98" t="s">
        <v>325</v>
      </c>
      <c r="F458" s="78">
        <v>58000</v>
      </c>
      <c r="G458" s="97">
        <v>1</v>
      </c>
      <c r="H458" s="98" t="s">
        <v>399</v>
      </c>
      <c r="J458" s="99">
        <f>1+Assumptions!$B$11+INDEX(Assumptions!$B$12:$B$15,D458)*Assumptions!$B$16</f>
        <v>1.3</v>
      </c>
      <c r="K458" s="82">
        <f t="shared" si="49"/>
        <v>75400</v>
      </c>
      <c r="L458" s="100">
        <f>IF(E458="Yes",MAX(0,Assumptions!$B$8-G458+1),0)</f>
        <v>8</v>
      </c>
      <c r="M458" s="82">
        <f t="shared" si="50"/>
        <v>50266.666666666664</v>
      </c>
      <c r="N458" s="100">
        <f>MIN(1,SUMIFS(Roster!$N$5:$N$1504,Roster!$B$5:$B$1504,$A458))</f>
        <v>1</v>
      </c>
      <c r="O458" s="100">
        <f>SUMIFS(Roster!$L$5:$L$1504,Roster!$B$5:$B$1504,$A458)</f>
        <v>8</v>
      </c>
      <c r="P458" s="83">
        <f>SUMIFS(Roster!$M$5:$M$1504,Roster!$B$5:$B$1504,$A458)*J458</f>
        <v>50266.666666666664</v>
      </c>
      <c r="Q458" s="83">
        <f>SUMIFS(Roster!$O$5:$O$1504,Roster!$B$5:$B$1504,$A458)*J458</f>
        <v>75400</v>
      </c>
      <c r="R458" s="82">
        <f t="shared" si="51"/>
        <v>75400</v>
      </c>
      <c r="S458" s="82">
        <f t="shared" si="52"/>
        <v>0</v>
      </c>
      <c r="T458" s="82">
        <f t="shared" si="53"/>
        <v>0</v>
      </c>
      <c r="U458" s="82">
        <f t="shared" si="54"/>
        <v>0</v>
      </c>
      <c r="V458" s="83">
        <f>IF(COUNTIFS(Roster!$B$5:$B$1504,$A458,Roster!$G$5:$G$1504,"&gt;0")=0,0,SUMIFS(Roster!$H$5:$H$1504,Roster!$B$5:$B$1504,$A458,Roster!$G$5:$G$1504,_xlfn.MAXIFS(Roster!$G$5:$G$1504,Roster!$B$5:$B$1504,$A458)))</f>
        <v>0</v>
      </c>
      <c r="W458" s="101" t="str">
        <f t="shared" si="55"/>
        <v>Filled</v>
      </c>
    </row>
    <row r="459" spans="1:23" x14ac:dyDescent="0.25">
      <c r="A459" s="76" t="s">
        <v>895</v>
      </c>
      <c r="B459" s="76" t="s">
        <v>359</v>
      </c>
      <c r="C459" s="76" t="s">
        <v>830</v>
      </c>
      <c r="D459" s="97">
        <v>1</v>
      </c>
      <c r="E459" s="98" t="s">
        <v>325</v>
      </c>
      <c r="F459" s="78">
        <v>53500</v>
      </c>
      <c r="G459" s="97">
        <v>1</v>
      </c>
      <c r="H459" s="98" t="s">
        <v>399</v>
      </c>
      <c r="J459" s="99">
        <f>1+Assumptions!$B$11+INDEX(Assumptions!$B$12:$B$15,D459)*Assumptions!$B$16</f>
        <v>1.3</v>
      </c>
      <c r="K459" s="82">
        <f t="shared" si="49"/>
        <v>69550</v>
      </c>
      <c r="L459" s="100">
        <f>IF(E459="Yes",MAX(0,Assumptions!$B$8-G459+1),0)</f>
        <v>8</v>
      </c>
      <c r="M459" s="82">
        <f t="shared" si="50"/>
        <v>46366.666666666664</v>
      </c>
      <c r="N459" s="100">
        <f>MIN(1,SUMIFS(Roster!$N$5:$N$1504,Roster!$B$5:$B$1504,$A459))</f>
        <v>1</v>
      </c>
      <c r="O459" s="100">
        <f>SUMIFS(Roster!$L$5:$L$1504,Roster!$B$5:$B$1504,$A459)</f>
        <v>8</v>
      </c>
      <c r="P459" s="83">
        <f>SUMIFS(Roster!$M$5:$M$1504,Roster!$B$5:$B$1504,$A459)*J459</f>
        <v>46540</v>
      </c>
      <c r="Q459" s="83">
        <f>SUMIFS(Roster!$O$5:$O$1504,Roster!$B$5:$B$1504,$A459)*J459</f>
        <v>69810</v>
      </c>
      <c r="R459" s="82">
        <f t="shared" si="51"/>
        <v>69810</v>
      </c>
      <c r="S459" s="82">
        <f t="shared" si="52"/>
        <v>0</v>
      </c>
      <c r="T459" s="82">
        <f t="shared" si="53"/>
        <v>-173.33333333333576</v>
      </c>
      <c r="U459" s="82">
        <f t="shared" si="54"/>
        <v>0</v>
      </c>
      <c r="V459" s="83">
        <f>IF(COUNTIFS(Roster!$B$5:$B$1504,$A459,Roster!$G$5:$G$1504,"&gt;0")=0,0,SUMIFS(Roster!$H$5:$H$1504,Roster!$B$5:$B$1504,$A459,Roster!$G$5:$G$1504,_xlfn.MAXIFS(Roster!$G$5:$G$1504,Roster!$B$5:$B$1504,$A459)))</f>
        <v>0</v>
      </c>
      <c r="W459" s="101" t="str">
        <f t="shared" si="55"/>
        <v>Filled</v>
      </c>
    </row>
    <row r="460" spans="1:23" x14ac:dyDescent="0.25">
      <c r="A460" s="76" t="s">
        <v>896</v>
      </c>
      <c r="B460" s="76" t="s">
        <v>359</v>
      </c>
      <c r="C460" s="76" t="s">
        <v>830</v>
      </c>
      <c r="D460" s="97">
        <v>1</v>
      </c>
      <c r="E460" s="98" t="s">
        <v>325</v>
      </c>
      <c r="F460" s="78">
        <v>56500</v>
      </c>
      <c r="G460" s="97">
        <v>1</v>
      </c>
      <c r="H460" s="98" t="s">
        <v>399</v>
      </c>
      <c r="J460" s="99">
        <f>1+Assumptions!$B$11+INDEX(Assumptions!$B$12:$B$15,D460)*Assumptions!$B$16</f>
        <v>1.3</v>
      </c>
      <c r="K460" s="82">
        <f t="shared" si="49"/>
        <v>73450</v>
      </c>
      <c r="L460" s="100">
        <f>IF(E460="Yes",MAX(0,Assumptions!$B$8-G460+1),0)</f>
        <v>8</v>
      </c>
      <c r="M460" s="82">
        <f t="shared" si="50"/>
        <v>48966.666666666664</v>
      </c>
      <c r="N460" s="100">
        <f>MIN(1,SUMIFS(Roster!$N$5:$N$1504,Roster!$B$5:$B$1504,$A460))</f>
        <v>1</v>
      </c>
      <c r="O460" s="100">
        <f>SUMIFS(Roster!$L$5:$L$1504,Roster!$B$5:$B$1504,$A460)</f>
        <v>8</v>
      </c>
      <c r="P460" s="83">
        <f>SUMIFS(Roster!$M$5:$M$1504,Roster!$B$5:$B$1504,$A460)*J460</f>
        <v>48620</v>
      </c>
      <c r="Q460" s="83">
        <f>SUMIFS(Roster!$O$5:$O$1504,Roster!$B$5:$B$1504,$A460)*J460</f>
        <v>72930</v>
      </c>
      <c r="R460" s="82">
        <f t="shared" si="51"/>
        <v>72930</v>
      </c>
      <c r="S460" s="82">
        <f t="shared" si="52"/>
        <v>0</v>
      </c>
      <c r="T460" s="82">
        <f t="shared" si="53"/>
        <v>346.66666666666424</v>
      </c>
      <c r="U460" s="82">
        <f t="shared" si="54"/>
        <v>0</v>
      </c>
      <c r="V460" s="83">
        <f>IF(COUNTIFS(Roster!$B$5:$B$1504,$A460,Roster!$G$5:$G$1504,"&gt;0")=0,0,SUMIFS(Roster!$H$5:$H$1504,Roster!$B$5:$B$1504,$A460,Roster!$G$5:$G$1504,_xlfn.MAXIFS(Roster!$G$5:$G$1504,Roster!$B$5:$B$1504,$A460)))</f>
        <v>0</v>
      </c>
      <c r="W460" s="101" t="str">
        <f t="shared" si="55"/>
        <v>Filled</v>
      </c>
    </row>
    <row r="461" spans="1:23" x14ac:dyDescent="0.25">
      <c r="A461" s="76" t="s">
        <v>897</v>
      </c>
      <c r="B461" s="76" t="s">
        <v>359</v>
      </c>
      <c r="C461" s="76" t="s">
        <v>830</v>
      </c>
      <c r="D461" s="97">
        <v>1</v>
      </c>
      <c r="E461" s="98" t="s">
        <v>325</v>
      </c>
      <c r="F461" s="78">
        <v>64000</v>
      </c>
      <c r="G461" s="97">
        <v>1</v>
      </c>
      <c r="H461" s="98" t="s">
        <v>399</v>
      </c>
      <c r="J461" s="99">
        <f>1+Assumptions!$B$11+INDEX(Assumptions!$B$12:$B$15,D461)*Assumptions!$B$16</f>
        <v>1.3</v>
      </c>
      <c r="K461" s="82">
        <f t="shared" si="49"/>
        <v>83200</v>
      </c>
      <c r="L461" s="100">
        <f>IF(E461="Yes",MAX(0,Assumptions!$B$8-G461+1),0)</f>
        <v>8</v>
      </c>
      <c r="M461" s="82">
        <f t="shared" si="50"/>
        <v>55466.666666666664</v>
      </c>
      <c r="N461" s="100">
        <f>MIN(1,SUMIFS(Roster!$N$5:$N$1504,Roster!$B$5:$B$1504,$A461))</f>
        <v>1</v>
      </c>
      <c r="O461" s="100">
        <f>SUMIFS(Roster!$L$5:$L$1504,Roster!$B$5:$B$1504,$A461)</f>
        <v>8</v>
      </c>
      <c r="P461" s="83">
        <f>SUMIFS(Roster!$M$5:$M$1504,Roster!$B$5:$B$1504,$A461)*J461</f>
        <v>55813.333333333336</v>
      </c>
      <c r="Q461" s="83">
        <f>SUMIFS(Roster!$O$5:$O$1504,Roster!$B$5:$B$1504,$A461)*J461</f>
        <v>83720</v>
      </c>
      <c r="R461" s="82">
        <f t="shared" si="51"/>
        <v>83720</v>
      </c>
      <c r="S461" s="82">
        <f t="shared" si="52"/>
        <v>0</v>
      </c>
      <c r="T461" s="82">
        <f t="shared" si="53"/>
        <v>-346.66666666667152</v>
      </c>
      <c r="U461" s="82">
        <f t="shared" si="54"/>
        <v>0</v>
      </c>
      <c r="V461" s="83">
        <f>IF(COUNTIFS(Roster!$B$5:$B$1504,$A461,Roster!$G$5:$G$1504,"&gt;0")=0,0,SUMIFS(Roster!$H$5:$H$1504,Roster!$B$5:$B$1504,$A461,Roster!$G$5:$G$1504,_xlfn.MAXIFS(Roster!$G$5:$G$1504,Roster!$B$5:$B$1504,$A461)))</f>
        <v>0</v>
      </c>
      <c r="W461" s="101" t="str">
        <f t="shared" si="55"/>
        <v>Filled</v>
      </c>
    </row>
    <row r="462" spans="1:23" x14ac:dyDescent="0.25">
      <c r="A462" s="76" t="s">
        <v>898</v>
      </c>
      <c r="B462" s="76" t="s">
        <v>359</v>
      </c>
      <c r="C462" s="76" t="s">
        <v>828</v>
      </c>
      <c r="D462" s="97">
        <v>3</v>
      </c>
      <c r="E462" s="98" t="s">
        <v>325</v>
      </c>
      <c r="F462" s="78">
        <v>105500</v>
      </c>
      <c r="G462" s="97">
        <v>1</v>
      </c>
      <c r="H462" s="98" t="s">
        <v>399</v>
      </c>
      <c r="J462" s="99">
        <f>1+Assumptions!$B$11+INDEX(Assumptions!$B$12:$B$15,D462)*Assumptions!$B$16</f>
        <v>1.4</v>
      </c>
      <c r="K462" s="82">
        <f t="shared" si="49"/>
        <v>147700</v>
      </c>
      <c r="L462" s="100">
        <f>IF(E462="Yes",MAX(0,Assumptions!$B$8-G462+1),0)</f>
        <v>8</v>
      </c>
      <c r="M462" s="82">
        <f t="shared" si="50"/>
        <v>98466.666666666672</v>
      </c>
      <c r="N462" s="100">
        <f>MIN(1,SUMIFS(Roster!$N$5:$N$1504,Roster!$B$5:$B$1504,$A462))</f>
        <v>1</v>
      </c>
      <c r="O462" s="100">
        <f>SUMIFS(Roster!$L$5:$L$1504,Roster!$B$5:$B$1504,$A462)</f>
        <v>8</v>
      </c>
      <c r="P462" s="83">
        <f>SUMIFS(Roster!$M$5:$M$1504,Roster!$B$5:$B$1504,$A462)*J462</f>
        <v>99586.666666666657</v>
      </c>
      <c r="Q462" s="83">
        <f>SUMIFS(Roster!$O$5:$O$1504,Roster!$B$5:$B$1504,$A462)*J462</f>
        <v>149380</v>
      </c>
      <c r="R462" s="82">
        <f t="shared" si="51"/>
        <v>149380</v>
      </c>
      <c r="S462" s="82">
        <f t="shared" si="52"/>
        <v>0</v>
      </c>
      <c r="T462" s="82">
        <f t="shared" si="53"/>
        <v>-1119.9999999999854</v>
      </c>
      <c r="U462" s="82">
        <f t="shared" si="54"/>
        <v>0</v>
      </c>
      <c r="V462" s="83">
        <f>IF(COUNTIFS(Roster!$B$5:$B$1504,$A462,Roster!$G$5:$G$1504,"&gt;0")=0,0,SUMIFS(Roster!$H$5:$H$1504,Roster!$B$5:$B$1504,$A462,Roster!$G$5:$G$1504,_xlfn.MAXIFS(Roster!$G$5:$G$1504,Roster!$B$5:$B$1504,$A462)))</f>
        <v>0</v>
      </c>
      <c r="W462" s="101" t="str">
        <f t="shared" si="55"/>
        <v>Filled</v>
      </c>
    </row>
    <row r="463" spans="1:23" x14ac:dyDescent="0.25">
      <c r="A463" s="76" t="s">
        <v>899</v>
      </c>
      <c r="B463" s="76" t="s">
        <v>359</v>
      </c>
      <c r="C463" s="76" t="s">
        <v>830</v>
      </c>
      <c r="D463" s="97">
        <v>1</v>
      </c>
      <c r="E463" s="98" t="s">
        <v>325</v>
      </c>
      <c r="F463" s="78">
        <v>63500</v>
      </c>
      <c r="G463" s="97">
        <v>1</v>
      </c>
      <c r="H463" s="98" t="s">
        <v>399</v>
      </c>
      <c r="J463" s="99">
        <f>1+Assumptions!$B$11+INDEX(Assumptions!$B$12:$B$15,D463)*Assumptions!$B$16</f>
        <v>1.3</v>
      </c>
      <c r="K463" s="82">
        <f t="shared" si="49"/>
        <v>82550</v>
      </c>
      <c r="L463" s="100">
        <f>IF(E463="Yes",MAX(0,Assumptions!$B$8-G463+1),0)</f>
        <v>8</v>
      </c>
      <c r="M463" s="82">
        <f t="shared" si="50"/>
        <v>55033.333333333336</v>
      </c>
      <c r="N463" s="100">
        <f>MIN(1,SUMIFS(Roster!$N$5:$N$1504,Roster!$B$5:$B$1504,$A463))</f>
        <v>1</v>
      </c>
      <c r="O463" s="100">
        <f>SUMIFS(Roster!$L$5:$L$1504,Roster!$B$5:$B$1504,$A463)</f>
        <v>8</v>
      </c>
      <c r="P463" s="83">
        <f>SUMIFS(Roster!$M$5:$M$1504,Roster!$B$5:$B$1504,$A463)*J463</f>
        <v>55120</v>
      </c>
      <c r="Q463" s="83">
        <f>SUMIFS(Roster!$O$5:$O$1504,Roster!$B$5:$B$1504,$A463)*J463</f>
        <v>82680</v>
      </c>
      <c r="R463" s="82">
        <f t="shared" si="51"/>
        <v>82680</v>
      </c>
      <c r="S463" s="82">
        <f t="shared" si="52"/>
        <v>0</v>
      </c>
      <c r="T463" s="82">
        <f t="shared" si="53"/>
        <v>-86.666666666664241</v>
      </c>
      <c r="U463" s="82">
        <f t="shared" si="54"/>
        <v>0</v>
      </c>
      <c r="V463" s="83">
        <f>IF(COUNTIFS(Roster!$B$5:$B$1504,$A463,Roster!$G$5:$G$1504,"&gt;0")=0,0,SUMIFS(Roster!$H$5:$H$1504,Roster!$B$5:$B$1504,$A463,Roster!$G$5:$G$1504,_xlfn.MAXIFS(Roster!$G$5:$G$1504,Roster!$B$5:$B$1504,$A463)))</f>
        <v>0</v>
      </c>
      <c r="W463" s="101" t="str">
        <f t="shared" si="55"/>
        <v>Filled</v>
      </c>
    </row>
    <row r="464" spans="1:23" x14ac:dyDescent="0.25">
      <c r="A464" s="76" t="s">
        <v>900</v>
      </c>
      <c r="B464" s="76" t="s">
        <v>359</v>
      </c>
      <c r="C464" s="76" t="s">
        <v>828</v>
      </c>
      <c r="D464" s="97">
        <v>3</v>
      </c>
      <c r="E464" s="98" t="s">
        <v>325</v>
      </c>
      <c r="F464" s="78">
        <v>129500</v>
      </c>
      <c r="G464" s="97">
        <v>4</v>
      </c>
      <c r="H464" s="98" t="s">
        <v>399</v>
      </c>
      <c r="J464" s="99">
        <f>1+Assumptions!$B$11+INDEX(Assumptions!$B$12:$B$15,D464)*Assumptions!$B$16</f>
        <v>1.4</v>
      </c>
      <c r="K464" s="82">
        <f t="shared" si="49"/>
        <v>181300</v>
      </c>
      <c r="L464" s="100">
        <f>IF(E464="Yes",MAX(0,Assumptions!$B$8-G464+1),0)</f>
        <v>5</v>
      </c>
      <c r="M464" s="82">
        <f t="shared" si="50"/>
        <v>75541.666666666672</v>
      </c>
      <c r="N464" s="100">
        <f>MIN(1,SUMIFS(Roster!$N$5:$N$1504,Roster!$B$5:$B$1504,$A464))</f>
        <v>0</v>
      </c>
      <c r="O464" s="100">
        <f>SUMIFS(Roster!$L$5:$L$1504,Roster!$B$5:$B$1504,$A464)</f>
        <v>0</v>
      </c>
      <c r="P464" s="83">
        <f>SUMIFS(Roster!$M$5:$M$1504,Roster!$B$5:$B$1504,$A464)*J464</f>
        <v>0</v>
      </c>
      <c r="Q464" s="83">
        <f>SUMIFS(Roster!$O$5:$O$1504,Roster!$B$5:$B$1504,$A464)*J464</f>
        <v>0</v>
      </c>
      <c r="R464" s="82">
        <f t="shared" si="51"/>
        <v>181300</v>
      </c>
      <c r="S464" s="82">
        <f t="shared" si="52"/>
        <v>75541.666666666672</v>
      </c>
      <c r="T464" s="82">
        <f t="shared" si="53"/>
        <v>0</v>
      </c>
      <c r="U464" s="82">
        <f t="shared" si="54"/>
        <v>0</v>
      </c>
      <c r="V464" s="83">
        <f>IF(COUNTIFS(Roster!$B$5:$B$1504,$A464,Roster!$G$5:$G$1504,"&gt;0")=0,0,SUMIFS(Roster!$H$5:$H$1504,Roster!$B$5:$B$1504,$A464,Roster!$G$5:$G$1504,_xlfn.MAXIFS(Roster!$G$5:$G$1504,Roster!$B$5:$B$1504,$A464)))</f>
        <v>0</v>
      </c>
      <c r="W464" s="101" t="str">
        <f t="shared" si="55"/>
        <v>Open: to fill</v>
      </c>
    </row>
    <row r="465" spans="1:23" x14ac:dyDescent="0.25">
      <c r="A465" s="76" t="s">
        <v>901</v>
      </c>
      <c r="B465" s="76" t="s">
        <v>359</v>
      </c>
      <c r="C465" s="76" t="s">
        <v>826</v>
      </c>
      <c r="D465" s="97">
        <v>2</v>
      </c>
      <c r="E465" s="98" t="s">
        <v>325</v>
      </c>
      <c r="F465" s="78">
        <v>86000</v>
      </c>
      <c r="G465" s="97">
        <v>3</v>
      </c>
      <c r="H465" s="98" t="s">
        <v>399</v>
      </c>
      <c r="J465" s="99">
        <f>1+Assumptions!$B$11+INDEX(Assumptions!$B$12:$B$15,D465)*Assumptions!$B$16</f>
        <v>1.35</v>
      </c>
      <c r="K465" s="82">
        <f t="shared" si="49"/>
        <v>116100.00000000001</v>
      </c>
      <c r="L465" s="100">
        <f>IF(E465="Yes",MAX(0,Assumptions!$B$8-G465+1),0)</f>
        <v>6</v>
      </c>
      <c r="M465" s="82">
        <f t="shared" si="50"/>
        <v>58050.000000000015</v>
      </c>
      <c r="N465" s="100">
        <f>MIN(1,SUMIFS(Roster!$N$5:$N$1504,Roster!$B$5:$B$1504,$A465))</f>
        <v>1</v>
      </c>
      <c r="O465" s="100">
        <f>SUMIFS(Roster!$L$5:$L$1504,Roster!$B$5:$B$1504,$A465)</f>
        <v>3</v>
      </c>
      <c r="P465" s="83">
        <f>SUMIFS(Roster!$M$5:$M$1504,Roster!$B$5:$B$1504,$A465)*J465</f>
        <v>28518.750000000004</v>
      </c>
      <c r="Q465" s="83">
        <f>SUMIFS(Roster!$O$5:$O$1504,Roster!$B$5:$B$1504,$A465)*J465</f>
        <v>114075.00000000001</v>
      </c>
      <c r="R465" s="82">
        <f t="shared" si="51"/>
        <v>114075.00000000001</v>
      </c>
      <c r="S465" s="82">
        <f t="shared" si="52"/>
        <v>29025.000000000004</v>
      </c>
      <c r="T465" s="82">
        <f t="shared" si="53"/>
        <v>506.25</v>
      </c>
      <c r="U465" s="82">
        <f t="shared" si="54"/>
        <v>0</v>
      </c>
      <c r="V465" s="83">
        <f>IF(COUNTIFS(Roster!$B$5:$B$1504,$A465,Roster!$G$5:$G$1504,"&gt;0")=0,0,SUMIFS(Roster!$H$5:$H$1504,Roster!$B$5:$B$1504,$A465,Roster!$G$5:$G$1504,_xlfn.MAXIFS(Roster!$G$5:$G$1504,Roster!$B$5:$B$1504,$A465)))</f>
        <v>0</v>
      </c>
      <c r="W465" s="101" t="str">
        <f t="shared" si="55"/>
        <v>Filled</v>
      </c>
    </row>
    <row r="466" spans="1:23" x14ac:dyDescent="0.25">
      <c r="A466" s="76" t="s">
        <v>902</v>
      </c>
      <c r="B466" s="76" t="s">
        <v>359</v>
      </c>
      <c r="C466" s="76" t="s">
        <v>830</v>
      </c>
      <c r="D466" s="97">
        <v>1</v>
      </c>
      <c r="E466" s="98" t="s">
        <v>325</v>
      </c>
      <c r="F466" s="78">
        <v>67000</v>
      </c>
      <c r="G466" s="97">
        <v>2</v>
      </c>
      <c r="H466" s="98" t="s">
        <v>399</v>
      </c>
      <c r="J466" s="99">
        <f>1+Assumptions!$B$11+INDEX(Assumptions!$B$12:$B$15,D466)*Assumptions!$B$16</f>
        <v>1.3</v>
      </c>
      <c r="K466" s="82">
        <f t="shared" si="49"/>
        <v>87100</v>
      </c>
      <c r="L466" s="100">
        <f>IF(E466="Yes",MAX(0,Assumptions!$B$8-G466+1),0)</f>
        <v>7</v>
      </c>
      <c r="M466" s="82">
        <f t="shared" si="50"/>
        <v>50808.333333333328</v>
      </c>
      <c r="N466" s="100">
        <f>MIN(1,SUMIFS(Roster!$N$5:$N$1504,Roster!$B$5:$B$1504,$A466))</f>
        <v>1</v>
      </c>
      <c r="O466" s="100">
        <f>SUMIFS(Roster!$L$5:$L$1504,Roster!$B$5:$B$1504,$A466)</f>
        <v>7</v>
      </c>
      <c r="P466" s="83">
        <f>SUMIFS(Roster!$M$5:$M$1504,Roster!$B$5:$B$1504,$A466)*J466</f>
        <v>50808.333333333336</v>
      </c>
      <c r="Q466" s="83">
        <f>SUMIFS(Roster!$O$5:$O$1504,Roster!$B$5:$B$1504,$A466)*J466</f>
        <v>87100</v>
      </c>
      <c r="R466" s="82">
        <f t="shared" si="51"/>
        <v>87100</v>
      </c>
      <c r="S466" s="82">
        <f t="shared" si="52"/>
        <v>0</v>
      </c>
      <c r="T466" s="82">
        <f t="shared" si="53"/>
        <v>0</v>
      </c>
      <c r="U466" s="82">
        <f t="shared" si="54"/>
        <v>0</v>
      </c>
      <c r="V466" s="83">
        <f>IF(COUNTIFS(Roster!$B$5:$B$1504,$A466,Roster!$G$5:$G$1504,"&gt;0")=0,0,SUMIFS(Roster!$H$5:$H$1504,Roster!$B$5:$B$1504,$A466,Roster!$G$5:$G$1504,_xlfn.MAXIFS(Roster!$G$5:$G$1504,Roster!$B$5:$B$1504,$A466)))</f>
        <v>0</v>
      </c>
      <c r="W466" s="101" t="str">
        <f t="shared" si="55"/>
        <v>Filled</v>
      </c>
    </row>
    <row r="467" spans="1:23" x14ac:dyDescent="0.25">
      <c r="A467" s="76" t="s">
        <v>903</v>
      </c>
      <c r="B467" s="76" t="s">
        <v>359</v>
      </c>
      <c r="C467" s="76" t="s">
        <v>830</v>
      </c>
      <c r="D467" s="97">
        <v>1</v>
      </c>
      <c r="E467" s="98" t="s">
        <v>517</v>
      </c>
      <c r="F467" s="78">
        <v>0</v>
      </c>
      <c r="G467" s="102"/>
      <c r="H467" s="98" t="s">
        <v>399</v>
      </c>
      <c r="J467" s="99">
        <f>1+Assumptions!$B$11+INDEX(Assumptions!$B$12:$B$15,D467)*Assumptions!$B$16</f>
        <v>1.3</v>
      </c>
      <c r="K467" s="82">
        <f t="shared" si="49"/>
        <v>0</v>
      </c>
      <c r="L467" s="100">
        <f>IF(E467="Yes",MAX(0,Assumptions!$B$8-G467+1),0)</f>
        <v>0</v>
      </c>
      <c r="M467" s="82">
        <f t="shared" si="50"/>
        <v>0</v>
      </c>
      <c r="N467" s="100">
        <f>MIN(1,SUMIFS(Roster!$N$5:$N$1504,Roster!$B$5:$B$1504,$A467))</f>
        <v>1</v>
      </c>
      <c r="O467" s="100">
        <f>SUMIFS(Roster!$L$5:$L$1504,Roster!$B$5:$B$1504,$A467)</f>
        <v>3</v>
      </c>
      <c r="P467" s="83">
        <f>SUMIFS(Roster!$M$5:$M$1504,Roster!$B$5:$B$1504,$A467)*J467</f>
        <v>22262.5</v>
      </c>
      <c r="Q467" s="83">
        <f>SUMIFS(Roster!$O$5:$O$1504,Roster!$B$5:$B$1504,$A467)*J467</f>
        <v>89050</v>
      </c>
      <c r="R467" s="82">
        <f t="shared" si="51"/>
        <v>89050</v>
      </c>
      <c r="S467" s="82">
        <f t="shared" si="52"/>
        <v>0</v>
      </c>
      <c r="T467" s="82">
        <f t="shared" si="53"/>
        <v>0</v>
      </c>
      <c r="U467" s="82">
        <f t="shared" si="54"/>
        <v>-22262.5</v>
      </c>
      <c r="V467" s="83">
        <f>IF(COUNTIFS(Roster!$B$5:$B$1504,$A467,Roster!$G$5:$G$1504,"&gt;0")=0,0,SUMIFS(Roster!$H$5:$H$1504,Roster!$B$5:$B$1504,$A467,Roster!$G$5:$G$1504,_xlfn.MAXIFS(Roster!$G$5:$G$1504,Roster!$B$5:$B$1504,$A467)))</f>
        <v>0</v>
      </c>
      <c r="W467" s="101" t="str">
        <f t="shared" si="55"/>
        <v>Unbudgeted hire</v>
      </c>
    </row>
    <row r="468" spans="1:23" x14ac:dyDescent="0.25">
      <c r="A468" s="76" t="s">
        <v>904</v>
      </c>
      <c r="B468" s="76" t="s">
        <v>358</v>
      </c>
      <c r="C468" s="76" t="s">
        <v>905</v>
      </c>
      <c r="D468" s="97">
        <v>1</v>
      </c>
      <c r="E468" s="98" t="s">
        <v>325</v>
      </c>
      <c r="F468" s="78">
        <v>55000</v>
      </c>
      <c r="G468" s="97">
        <v>1</v>
      </c>
      <c r="H468" s="98" t="s">
        <v>399</v>
      </c>
      <c r="J468" s="99">
        <f>1+Assumptions!$B$11+INDEX(Assumptions!$B$12:$B$15,D468)*Assumptions!$B$16</f>
        <v>1.3</v>
      </c>
      <c r="K468" s="82">
        <f t="shared" si="49"/>
        <v>71500</v>
      </c>
      <c r="L468" s="100">
        <f>IF(E468="Yes",MAX(0,Assumptions!$B$8-G468+1),0)</f>
        <v>8</v>
      </c>
      <c r="M468" s="82">
        <f t="shared" si="50"/>
        <v>47666.666666666664</v>
      </c>
      <c r="N468" s="100">
        <f>MIN(1,SUMIFS(Roster!$N$5:$N$1504,Roster!$B$5:$B$1504,$A468))</f>
        <v>1</v>
      </c>
      <c r="O468" s="100">
        <f>SUMIFS(Roster!$L$5:$L$1504,Roster!$B$5:$B$1504,$A468)</f>
        <v>8</v>
      </c>
      <c r="P468" s="83">
        <f>SUMIFS(Roster!$M$5:$M$1504,Roster!$B$5:$B$1504,$A468)*J468</f>
        <v>47233.333333333336</v>
      </c>
      <c r="Q468" s="83">
        <f>SUMIFS(Roster!$O$5:$O$1504,Roster!$B$5:$B$1504,$A468)*J468</f>
        <v>70850</v>
      </c>
      <c r="R468" s="82">
        <f t="shared" si="51"/>
        <v>70850</v>
      </c>
      <c r="S468" s="82">
        <f t="shared" si="52"/>
        <v>0</v>
      </c>
      <c r="T468" s="82">
        <f t="shared" si="53"/>
        <v>433.33333333332848</v>
      </c>
      <c r="U468" s="82">
        <f t="shared" si="54"/>
        <v>0</v>
      </c>
      <c r="V468" s="83">
        <f>IF(COUNTIFS(Roster!$B$5:$B$1504,$A468,Roster!$G$5:$G$1504,"&gt;0")=0,0,SUMIFS(Roster!$H$5:$H$1504,Roster!$B$5:$B$1504,$A468,Roster!$G$5:$G$1504,_xlfn.MAXIFS(Roster!$G$5:$G$1504,Roster!$B$5:$B$1504,$A468)))</f>
        <v>0</v>
      </c>
      <c r="W468" s="101" t="str">
        <f t="shared" si="55"/>
        <v>Filled</v>
      </c>
    </row>
    <row r="469" spans="1:23" x14ac:dyDescent="0.25">
      <c r="A469" s="76" t="s">
        <v>906</v>
      </c>
      <c r="B469" s="76" t="s">
        <v>358</v>
      </c>
      <c r="C469" s="76" t="s">
        <v>907</v>
      </c>
      <c r="D469" s="97">
        <v>2</v>
      </c>
      <c r="E469" s="98" t="s">
        <v>325</v>
      </c>
      <c r="F469" s="78">
        <v>92000</v>
      </c>
      <c r="G469" s="97">
        <v>1</v>
      </c>
      <c r="H469" s="98" t="s">
        <v>399</v>
      </c>
      <c r="J469" s="99">
        <f>1+Assumptions!$B$11+INDEX(Assumptions!$B$12:$B$15,D469)*Assumptions!$B$16</f>
        <v>1.35</v>
      </c>
      <c r="K469" s="82">
        <f t="shared" si="49"/>
        <v>124200.00000000001</v>
      </c>
      <c r="L469" s="100">
        <f>IF(E469="Yes",MAX(0,Assumptions!$B$8-G469+1),0)</f>
        <v>8</v>
      </c>
      <c r="M469" s="82">
        <f t="shared" si="50"/>
        <v>82800.000000000015</v>
      </c>
      <c r="N469" s="100">
        <f>MIN(1,SUMIFS(Roster!$N$5:$N$1504,Roster!$B$5:$B$1504,$A469))</f>
        <v>1</v>
      </c>
      <c r="O469" s="100">
        <f>SUMIFS(Roster!$L$5:$L$1504,Roster!$B$5:$B$1504,$A469)</f>
        <v>8</v>
      </c>
      <c r="P469" s="83">
        <f>SUMIFS(Roster!$M$5:$M$1504,Roster!$B$5:$B$1504,$A469)*J469</f>
        <v>81810</v>
      </c>
      <c r="Q469" s="83">
        <f>SUMIFS(Roster!$O$5:$O$1504,Roster!$B$5:$B$1504,$A469)*J469</f>
        <v>122715.00000000001</v>
      </c>
      <c r="R469" s="82">
        <f t="shared" si="51"/>
        <v>122715.00000000001</v>
      </c>
      <c r="S469" s="82">
        <f t="shared" si="52"/>
        <v>0</v>
      </c>
      <c r="T469" s="82">
        <f t="shared" si="53"/>
        <v>990.00000000001455</v>
      </c>
      <c r="U469" s="82">
        <f t="shared" si="54"/>
        <v>0</v>
      </c>
      <c r="V469" s="83">
        <f>IF(COUNTIFS(Roster!$B$5:$B$1504,$A469,Roster!$G$5:$G$1504,"&gt;0")=0,0,SUMIFS(Roster!$H$5:$H$1504,Roster!$B$5:$B$1504,$A469,Roster!$G$5:$G$1504,_xlfn.MAXIFS(Roster!$G$5:$G$1504,Roster!$B$5:$B$1504,$A469)))</f>
        <v>0</v>
      </c>
      <c r="W469" s="101" t="str">
        <f t="shared" si="55"/>
        <v>Filled</v>
      </c>
    </row>
    <row r="470" spans="1:23" x14ac:dyDescent="0.25">
      <c r="A470" s="76" t="s">
        <v>908</v>
      </c>
      <c r="B470" s="76" t="s">
        <v>358</v>
      </c>
      <c r="C470" s="76" t="s">
        <v>909</v>
      </c>
      <c r="D470" s="97">
        <v>3</v>
      </c>
      <c r="E470" s="98" t="s">
        <v>325</v>
      </c>
      <c r="F470" s="78">
        <v>124500</v>
      </c>
      <c r="G470" s="97">
        <v>1</v>
      </c>
      <c r="H470" s="98" t="s">
        <v>399</v>
      </c>
      <c r="J470" s="99">
        <f>1+Assumptions!$B$11+INDEX(Assumptions!$B$12:$B$15,D470)*Assumptions!$B$16</f>
        <v>1.4</v>
      </c>
      <c r="K470" s="82">
        <f t="shared" si="49"/>
        <v>174300</v>
      </c>
      <c r="L470" s="100">
        <f>IF(E470="Yes",MAX(0,Assumptions!$B$8-G470+1),0)</f>
        <v>8</v>
      </c>
      <c r="M470" s="82">
        <f t="shared" si="50"/>
        <v>116200</v>
      </c>
      <c r="N470" s="100">
        <f>MIN(1,SUMIFS(Roster!$N$5:$N$1504,Roster!$B$5:$B$1504,$A470))</f>
        <v>1</v>
      </c>
      <c r="O470" s="100">
        <f>SUMIFS(Roster!$L$5:$L$1504,Roster!$B$5:$B$1504,$A470)</f>
        <v>8</v>
      </c>
      <c r="P470" s="83">
        <f>SUMIFS(Roster!$M$5:$M$1504,Roster!$B$5:$B$1504,$A470)*J470</f>
        <v>114520</v>
      </c>
      <c r="Q470" s="83">
        <f>SUMIFS(Roster!$O$5:$O$1504,Roster!$B$5:$B$1504,$A470)*J470</f>
        <v>171780</v>
      </c>
      <c r="R470" s="82">
        <f t="shared" si="51"/>
        <v>171780</v>
      </c>
      <c r="S470" s="82">
        <f t="shared" si="52"/>
        <v>0</v>
      </c>
      <c r="T470" s="82">
        <f t="shared" si="53"/>
        <v>1680</v>
      </c>
      <c r="U470" s="82">
        <f t="shared" si="54"/>
        <v>0</v>
      </c>
      <c r="V470" s="83">
        <f>IF(COUNTIFS(Roster!$B$5:$B$1504,$A470,Roster!$G$5:$G$1504,"&gt;0")=0,0,SUMIFS(Roster!$H$5:$H$1504,Roster!$B$5:$B$1504,$A470,Roster!$G$5:$G$1504,_xlfn.MAXIFS(Roster!$G$5:$G$1504,Roster!$B$5:$B$1504,$A470)))</f>
        <v>0</v>
      </c>
      <c r="W470" s="101" t="str">
        <f t="shared" si="55"/>
        <v>Filled</v>
      </c>
    </row>
    <row r="471" spans="1:23" x14ac:dyDescent="0.25">
      <c r="A471" s="76" t="s">
        <v>910</v>
      </c>
      <c r="B471" s="76" t="s">
        <v>358</v>
      </c>
      <c r="C471" s="76" t="s">
        <v>907</v>
      </c>
      <c r="D471" s="97">
        <v>2</v>
      </c>
      <c r="E471" s="98" t="s">
        <v>325</v>
      </c>
      <c r="F471" s="78">
        <v>80000</v>
      </c>
      <c r="G471" s="97">
        <v>1</v>
      </c>
      <c r="H471" s="98" t="s">
        <v>399</v>
      </c>
      <c r="J471" s="99">
        <f>1+Assumptions!$B$11+INDEX(Assumptions!$B$12:$B$15,D471)*Assumptions!$B$16</f>
        <v>1.35</v>
      </c>
      <c r="K471" s="82">
        <f t="shared" si="49"/>
        <v>108000</v>
      </c>
      <c r="L471" s="100">
        <f>IF(E471="Yes",MAX(0,Assumptions!$B$8-G471+1),0)</f>
        <v>8</v>
      </c>
      <c r="M471" s="82">
        <f t="shared" si="50"/>
        <v>72000</v>
      </c>
      <c r="N471" s="100">
        <f>MIN(1,SUMIFS(Roster!$N$5:$N$1504,Roster!$B$5:$B$1504,$A471))</f>
        <v>1</v>
      </c>
      <c r="O471" s="100">
        <f>SUMIFS(Roster!$L$5:$L$1504,Roster!$B$5:$B$1504,$A471)</f>
        <v>8</v>
      </c>
      <c r="P471" s="83">
        <f>SUMIFS(Roster!$M$5:$M$1504,Roster!$B$5:$B$1504,$A471)*J471</f>
        <v>71460.000000000015</v>
      </c>
      <c r="Q471" s="83">
        <f>SUMIFS(Roster!$O$5:$O$1504,Roster!$B$5:$B$1504,$A471)*J471</f>
        <v>107190</v>
      </c>
      <c r="R471" s="82">
        <f t="shared" si="51"/>
        <v>107190</v>
      </c>
      <c r="S471" s="82">
        <f t="shared" si="52"/>
        <v>0</v>
      </c>
      <c r="T471" s="82">
        <f t="shared" si="53"/>
        <v>539.99999999998545</v>
      </c>
      <c r="U471" s="82">
        <f t="shared" si="54"/>
        <v>0</v>
      </c>
      <c r="V471" s="83">
        <f>IF(COUNTIFS(Roster!$B$5:$B$1504,$A471,Roster!$G$5:$G$1504,"&gt;0")=0,0,SUMIFS(Roster!$H$5:$H$1504,Roster!$B$5:$B$1504,$A471,Roster!$G$5:$G$1504,_xlfn.MAXIFS(Roster!$G$5:$G$1504,Roster!$B$5:$B$1504,$A471)))</f>
        <v>0</v>
      </c>
      <c r="W471" s="101" t="str">
        <f t="shared" si="55"/>
        <v>Filled</v>
      </c>
    </row>
    <row r="472" spans="1:23" x14ac:dyDescent="0.25">
      <c r="A472" s="76" t="s">
        <v>911</v>
      </c>
      <c r="B472" s="76" t="s">
        <v>358</v>
      </c>
      <c r="C472" s="76" t="s">
        <v>905</v>
      </c>
      <c r="D472" s="97">
        <v>1</v>
      </c>
      <c r="E472" s="98" t="s">
        <v>325</v>
      </c>
      <c r="F472" s="78">
        <v>59000</v>
      </c>
      <c r="G472" s="97">
        <v>1</v>
      </c>
      <c r="H472" s="98" t="s">
        <v>399</v>
      </c>
      <c r="J472" s="99">
        <f>1+Assumptions!$B$11+INDEX(Assumptions!$B$12:$B$15,D472)*Assumptions!$B$16</f>
        <v>1.3</v>
      </c>
      <c r="K472" s="82">
        <f t="shared" si="49"/>
        <v>76700</v>
      </c>
      <c r="L472" s="100">
        <f>IF(E472="Yes",MAX(0,Assumptions!$B$8-G472+1),0)</f>
        <v>8</v>
      </c>
      <c r="M472" s="82">
        <f t="shared" si="50"/>
        <v>51133.333333333336</v>
      </c>
      <c r="N472" s="100">
        <f>MIN(1,SUMIFS(Roster!$N$5:$N$1504,Roster!$B$5:$B$1504,$A472))</f>
        <v>1</v>
      </c>
      <c r="O472" s="100">
        <f>SUMIFS(Roster!$L$5:$L$1504,Roster!$B$5:$B$1504,$A472)</f>
        <v>8</v>
      </c>
      <c r="P472" s="83">
        <f>SUMIFS(Roster!$M$5:$M$1504,Roster!$B$5:$B$1504,$A472)*J472</f>
        <v>50700</v>
      </c>
      <c r="Q472" s="83">
        <f>SUMIFS(Roster!$O$5:$O$1504,Roster!$B$5:$B$1504,$A472)*J472</f>
        <v>76050</v>
      </c>
      <c r="R472" s="82">
        <f t="shared" si="51"/>
        <v>76050</v>
      </c>
      <c r="S472" s="82">
        <f t="shared" si="52"/>
        <v>0</v>
      </c>
      <c r="T472" s="82">
        <f t="shared" si="53"/>
        <v>433.33333333333576</v>
      </c>
      <c r="U472" s="82">
        <f t="shared" si="54"/>
        <v>0</v>
      </c>
      <c r="V472" s="83">
        <f>IF(COUNTIFS(Roster!$B$5:$B$1504,$A472,Roster!$G$5:$G$1504,"&gt;0")=0,0,SUMIFS(Roster!$H$5:$H$1504,Roster!$B$5:$B$1504,$A472,Roster!$G$5:$G$1504,_xlfn.MAXIFS(Roster!$G$5:$G$1504,Roster!$B$5:$B$1504,$A472)))</f>
        <v>0</v>
      </c>
      <c r="W472" s="101" t="str">
        <f t="shared" si="55"/>
        <v>Filled</v>
      </c>
    </row>
    <row r="473" spans="1:23" x14ac:dyDescent="0.25">
      <c r="A473" s="76" t="s">
        <v>912</v>
      </c>
      <c r="B473" s="76" t="s">
        <v>358</v>
      </c>
      <c r="C473" s="76" t="s">
        <v>907</v>
      </c>
      <c r="D473" s="97">
        <v>2</v>
      </c>
      <c r="E473" s="98" t="s">
        <v>325</v>
      </c>
      <c r="F473" s="78">
        <v>72000</v>
      </c>
      <c r="G473" s="97">
        <v>1</v>
      </c>
      <c r="H473" s="98" t="s">
        <v>399</v>
      </c>
      <c r="J473" s="99">
        <f>1+Assumptions!$B$11+INDEX(Assumptions!$B$12:$B$15,D473)*Assumptions!$B$16</f>
        <v>1.35</v>
      </c>
      <c r="K473" s="82">
        <f t="shared" si="49"/>
        <v>97200</v>
      </c>
      <c r="L473" s="100">
        <f>IF(E473="Yes",MAX(0,Assumptions!$B$8-G473+1),0)</f>
        <v>8</v>
      </c>
      <c r="M473" s="82">
        <f t="shared" si="50"/>
        <v>64800</v>
      </c>
      <c r="N473" s="100">
        <f>MIN(1,SUMIFS(Roster!$N$5:$N$1504,Roster!$B$5:$B$1504,$A473))</f>
        <v>1</v>
      </c>
      <c r="O473" s="100">
        <f>SUMIFS(Roster!$L$5:$L$1504,Roster!$B$5:$B$1504,$A473)</f>
        <v>8</v>
      </c>
      <c r="P473" s="83">
        <f>SUMIFS(Roster!$M$5:$M$1504,Roster!$B$5:$B$1504,$A473)*J473</f>
        <v>65250.000000000007</v>
      </c>
      <c r="Q473" s="83">
        <f>SUMIFS(Roster!$O$5:$O$1504,Roster!$B$5:$B$1504,$A473)*J473</f>
        <v>97875</v>
      </c>
      <c r="R473" s="82">
        <f t="shared" si="51"/>
        <v>97875</v>
      </c>
      <c r="S473" s="82">
        <f t="shared" si="52"/>
        <v>0</v>
      </c>
      <c r="T473" s="82">
        <f t="shared" si="53"/>
        <v>-450.00000000000728</v>
      </c>
      <c r="U473" s="82">
        <f t="shared" si="54"/>
        <v>0</v>
      </c>
      <c r="V473" s="83">
        <f>IF(COUNTIFS(Roster!$B$5:$B$1504,$A473,Roster!$G$5:$G$1504,"&gt;0")=0,0,SUMIFS(Roster!$H$5:$H$1504,Roster!$B$5:$B$1504,$A473,Roster!$G$5:$G$1504,_xlfn.MAXIFS(Roster!$G$5:$G$1504,Roster!$B$5:$B$1504,$A473)))</f>
        <v>0</v>
      </c>
      <c r="W473" s="101" t="str">
        <f t="shared" si="55"/>
        <v>Filled</v>
      </c>
    </row>
    <row r="474" spans="1:23" x14ac:dyDescent="0.25">
      <c r="A474" s="76" t="s">
        <v>913</v>
      </c>
      <c r="B474" s="76" t="s">
        <v>358</v>
      </c>
      <c r="C474" s="76" t="s">
        <v>909</v>
      </c>
      <c r="D474" s="97">
        <v>3</v>
      </c>
      <c r="E474" s="98" t="s">
        <v>325</v>
      </c>
      <c r="F474" s="78">
        <v>121500</v>
      </c>
      <c r="G474" s="97">
        <v>1</v>
      </c>
      <c r="H474" s="98" t="s">
        <v>399</v>
      </c>
      <c r="J474" s="99">
        <f>1+Assumptions!$B$11+INDEX(Assumptions!$B$12:$B$15,D474)*Assumptions!$B$16</f>
        <v>1.4</v>
      </c>
      <c r="K474" s="82">
        <f t="shared" si="49"/>
        <v>170100</v>
      </c>
      <c r="L474" s="100">
        <f>IF(E474="Yes",MAX(0,Assumptions!$B$8-G474+1),0)</f>
        <v>8</v>
      </c>
      <c r="M474" s="82">
        <f t="shared" si="50"/>
        <v>113400</v>
      </c>
      <c r="N474" s="100">
        <f>MIN(1,SUMIFS(Roster!$N$5:$N$1504,Roster!$B$5:$B$1504,$A474))</f>
        <v>1</v>
      </c>
      <c r="O474" s="100">
        <f>SUMIFS(Roster!$L$5:$L$1504,Roster!$B$5:$B$1504,$A474)</f>
        <v>8</v>
      </c>
      <c r="P474" s="83">
        <f>SUMIFS(Roster!$M$5:$M$1504,Roster!$B$5:$B$1504,$A474)*J474</f>
        <v>111906.66666666666</v>
      </c>
      <c r="Q474" s="83">
        <f>SUMIFS(Roster!$O$5:$O$1504,Roster!$B$5:$B$1504,$A474)*J474</f>
        <v>167860</v>
      </c>
      <c r="R474" s="82">
        <f t="shared" si="51"/>
        <v>167860</v>
      </c>
      <c r="S474" s="82">
        <f t="shared" si="52"/>
        <v>0</v>
      </c>
      <c r="T474" s="82">
        <f t="shared" si="53"/>
        <v>1493.333333333343</v>
      </c>
      <c r="U474" s="82">
        <f t="shared" si="54"/>
        <v>0</v>
      </c>
      <c r="V474" s="83">
        <f>IF(COUNTIFS(Roster!$B$5:$B$1504,$A474,Roster!$G$5:$G$1504,"&gt;0")=0,0,SUMIFS(Roster!$H$5:$H$1504,Roster!$B$5:$B$1504,$A474,Roster!$G$5:$G$1504,_xlfn.MAXIFS(Roster!$G$5:$G$1504,Roster!$B$5:$B$1504,$A474)))</f>
        <v>0</v>
      </c>
      <c r="W474" s="101" t="str">
        <f t="shared" si="55"/>
        <v>Filled</v>
      </c>
    </row>
    <row r="475" spans="1:23" x14ac:dyDescent="0.25">
      <c r="A475" s="76" t="s">
        <v>914</v>
      </c>
      <c r="B475" s="76" t="s">
        <v>358</v>
      </c>
      <c r="C475" s="76" t="s">
        <v>905</v>
      </c>
      <c r="D475" s="97">
        <v>1</v>
      </c>
      <c r="E475" s="98" t="s">
        <v>325</v>
      </c>
      <c r="F475" s="78">
        <v>64500</v>
      </c>
      <c r="G475" s="97">
        <v>1</v>
      </c>
      <c r="H475" s="98" t="s">
        <v>399</v>
      </c>
      <c r="J475" s="99">
        <f>1+Assumptions!$B$11+INDEX(Assumptions!$B$12:$B$15,D475)*Assumptions!$B$16</f>
        <v>1.3</v>
      </c>
      <c r="K475" s="82">
        <f t="shared" si="49"/>
        <v>83850</v>
      </c>
      <c r="L475" s="100">
        <f>IF(E475="Yes",MAX(0,Assumptions!$B$8-G475+1),0)</f>
        <v>8</v>
      </c>
      <c r="M475" s="82">
        <f t="shared" si="50"/>
        <v>55900</v>
      </c>
      <c r="N475" s="100">
        <f>MIN(1,SUMIFS(Roster!$N$5:$N$1504,Roster!$B$5:$B$1504,$A475))</f>
        <v>1</v>
      </c>
      <c r="O475" s="100">
        <f>SUMIFS(Roster!$L$5:$L$1504,Roster!$B$5:$B$1504,$A475)</f>
        <v>8</v>
      </c>
      <c r="P475" s="83">
        <f>SUMIFS(Roster!$M$5:$M$1504,Roster!$B$5:$B$1504,$A475)*J475</f>
        <v>55120</v>
      </c>
      <c r="Q475" s="83">
        <f>SUMIFS(Roster!$O$5:$O$1504,Roster!$B$5:$B$1504,$A475)*J475</f>
        <v>82680</v>
      </c>
      <c r="R475" s="82">
        <f t="shared" si="51"/>
        <v>82680</v>
      </c>
      <c r="S475" s="82">
        <f t="shared" si="52"/>
        <v>0</v>
      </c>
      <c r="T475" s="82">
        <f t="shared" si="53"/>
        <v>780</v>
      </c>
      <c r="U475" s="82">
        <f t="shared" si="54"/>
        <v>0</v>
      </c>
      <c r="V475" s="83">
        <f>IF(COUNTIFS(Roster!$B$5:$B$1504,$A475,Roster!$G$5:$G$1504,"&gt;0")=0,0,SUMIFS(Roster!$H$5:$H$1504,Roster!$B$5:$B$1504,$A475,Roster!$G$5:$G$1504,_xlfn.MAXIFS(Roster!$G$5:$G$1504,Roster!$B$5:$B$1504,$A475)))</f>
        <v>0</v>
      </c>
      <c r="W475" s="101" t="str">
        <f t="shared" si="55"/>
        <v>Filled</v>
      </c>
    </row>
    <row r="476" spans="1:23" x14ac:dyDescent="0.25">
      <c r="A476" s="76" t="s">
        <v>915</v>
      </c>
      <c r="B476" s="76" t="s">
        <v>358</v>
      </c>
      <c r="C476" s="76" t="s">
        <v>909</v>
      </c>
      <c r="D476" s="97">
        <v>3</v>
      </c>
      <c r="E476" s="98" t="s">
        <v>325</v>
      </c>
      <c r="F476" s="78">
        <v>112500</v>
      </c>
      <c r="G476" s="97">
        <v>1</v>
      </c>
      <c r="H476" s="98" t="s">
        <v>399</v>
      </c>
      <c r="J476" s="99">
        <f>1+Assumptions!$B$11+INDEX(Assumptions!$B$12:$B$15,D476)*Assumptions!$B$16</f>
        <v>1.4</v>
      </c>
      <c r="K476" s="82">
        <f t="shared" si="49"/>
        <v>157500</v>
      </c>
      <c r="L476" s="100">
        <f>IF(E476="Yes",MAX(0,Assumptions!$B$8-G476+1),0)</f>
        <v>8</v>
      </c>
      <c r="M476" s="82">
        <f t="shared" si="50"/>
        <v>105000</v>
      </c>
      <c r="N476" s="100">
        <f>MIN(1,SUMIFS(Roster!$N$5:$N$1504,Roster!$B$5:$B$1504,$A476))</f>
        <v>1</v>
      </c>
      <c r="O476" s="100">
        <f>SUMIFS(Roster!$L$5:$L$1504,Roster!$B$5:$B$1504,$A476)</f>
        <v>8</v>
      </c>
      <c r="P476" s="83">
        <f>SUMIFS(Roster!$M$5:$M$1504,Roster!$B$5:$B$1504,$A476)*J476</f>
        <v>105186.66666666666</v>
      </c>
      <c r="Q476" s="83">
        <f>SUMIFS(Roster!$O$5:$O$1504,Roster!$B$5:$B$1504,$A476)*J476</f>
        <v>157780</v>
      </c>
      <c r="R476" s="82">
        <f t="shared" si="51"/>
        <v>157780</v>
      </c>
      <c r="S476" s="82">
        <f t="shared" si="52"/>
        <v>0</v>
      </c>
      <c r="T476" s="82">
        <f t="shared" si="53"/>
        <v>-186.66666666665697</v>
      </c>
      <c r="U476" s="82">
        <f t="shared" si="54"/>
        <v>0</v>
      </c>
      <c r="V476" s="83">
        <f>IF(COUNTIFS(Roster!$B$5:$B$1504,$A476,Roster!$G$5:$G$1504,"&gt;0")=0,0,SUMIFS(Roster!$H$5:$H$1504,Roster!$B$5:$B$1504,$A476,Roster!$G$5:$G$1504,_xlfn.MAXIFS(Roster!$G$5:$G$1504,Roster!$B$5:$B$1504,$A476)))</f>
        <v>0</v>
      </c>
      <c r="W476" s="101" t="str">
        <f t="shared" si="55"/>
        <v>Filled</v>
      </c>
    </row>
    <row r="477" spans="1:23" x14ac:dyDescent="0.25">
      <c r="A477" s="76" t="s">
        <v>916</v>
      </c>
      <c r="B477" s="76" t="s">
        <v>358</v>
      </c>
      <c r="C477" s="76" t="s">
        <v>905</v>
      </c>
      <c r="D477" s="97">
        <v>1</v>
      </c>
      <c r="E477" s="98" t="s">
        <v>325</v>
      </c>
      <c r="F477" s="78">
        <v>65000</v>
      </c>
      <c r="G477" s="97">
        <v>1</v>
      </c>
      <c r="H477" s="98" t="s">
        <v>399</v>
      </c>
      <c r="J477" s="99">
        <f>1+Assumptions!$B$11+INDEX(Assumptions!$B$12:$B$15,D477)*Assumptions!$B$16</f>
        <v>1.3</v>
      </c>
      <c r="K477" s="82">
        <f t="shared" si="49"/>
        <v>84500</v>
      </c>
      <c r="L477" s="100">
        <f>IF(E477="Yes",MAX(0,Assumptions!$B$8-G477+1),0)</f>
        <v>8</v>
      </c>
      <c r="M477" s="82">
        <f t="shared" si="50"/>
        <v>56333.333333333336</v>
      </c>
      <c r="N477" s="100">
        <f>MIN(1,SUMIFS(Roster!$N$5:$N$1504,Roster!$B$5:$B$1504,$A477))</f>
        <v>1</v>
      </c>
      <c r="O477" s="100">
        <f>SUMIFS(Roster!$L$5:$L$1504,Roster!$B$5:$B$1504,$A477)</f>
        <v>8</v>
      </c>
      <c r="P477" s="83">
        <f>SUMIFS(Roster!$M$5:$M$1504,Roster!$B$5:$B$1504,$A477)*J477</f>
        <v>55640</v>
      </c>
      <c r="Q477" s="83">
        <f>SUMIFS(Roster!$O$5:$O$1504,Roster!$B$5:$B$1504,$A477)*J477</f>
        <v>83460</v>
      </c>
      <c r="R477" s="82">
        <f t="shared" si="51"/>
        <v>83460</v>
      </c>
      <c r="S477" s="82">
        <f t="shared" si="52"/>
        <v>0</v>
      </c>
      <c r="T477" s="82">
        <f t="shared" si="53"/>
        <v>693.33333333333576</v>
      </c>
      <c r="U477" s="82">
        <f t="shared" si="54"/>
        <v>0</v>
      </c>
      <c r="V477" s="83">
        <f>IF(COUNTIFS(Roster!$B$5:$B$1504,$A477,Roster!$G$5:$G$1504,"&gt;0")=0,0,SUMIFS(Roster!$H$5:$H$1504,Roster!$B$5:$B$1504,$A477,Roster!$G$5:$G$1504,_xlfn.MAXIFS(Roster!$G$5:$G$1504,Roster!$B$5:$B$1504,$A477)))</f>
        <v>0</v>
      </c>
      <c r="W477" s="101" t="str">
        <f t="shared" si="55"/>
        <v>Filled</v>
      </c>
    </row>
    <row r="478" spans="1:23" x14ac:dyDescent="0.25">
      <c r="A478" s="76" t="s">
        <v>917</v>
      </c>
      <c r="B478" s="76" t="s">
        <v>358</v>
      </c>
      <c r="C478" s="76" t="s">
        <v>907</v>
      </c>
      <c r="D478" s="97">
        <v>2</v>
      </c>
      <c r="E478" s="98" t="s">
        <v>325</v>
      </c>
      <c r="F478" s="78">
        <v>84500</v>
      </c>
      <c r="G478" s="97">
        <v>1</v>
      </c>
      <c r="H478" s="98" t="s">
        <v>399</v>
      </c>
      <c r="J478" s="99">
        <f>1+Assumptions!$B$11+INDEX(Assumptions!$B$12:$B$15,D478)*Assumptions!$B$16</f>
        <v>1.35</v>
      </c>
      <c r="K478" s="82">
        <f t="shared" si="49"/>
        <v>114075.00000000001</v>
      </c>
      <c r="L478" s="100">
        <f>IF(E478="Yes",MAX(0,Assumptions!$B$8-G478+1),0)</f>
        <v>8</v>
      </c>
      <c r="M478" s="82">
        <f t="shared" si="50"/>
        <v>76050.000000000015</v>
      </c>
      <c r="N478" s="100">
        <f>MIN(1,SUMIFS(Roster!$N$5:$N$1504,Roster!$B$5:$B$1504,$A478))</f>
        <v>1</v>
      </c>
      <c r="O478" s="100">
        <f>SUMIFS(Roster!$L$5:$L$1504,Roster!$B$5:$B$1504,$A478)</f>
        <v>8</v>
      </c>
      <c r="P478" s="83">
        <f>SUMIFS(Roster!$M$5:$M$1504,Roster!$B$5:$B$1504,$A478)*J478</f>
        <v>76500</v>
      </c>
      <c r="Q478" s="83">
        <f>SUMIFS(Roster!$O$5:$O$1504,Roster!$B$5:$B$1504,$A478)*J478</f>
        <v>114750.00000000001</v>
      </c>
      <c r="R478" s="82">
        <f t="shared" si="51"/>
        <v>114750.00000000001</v>
      </c>
      <c r="S478" s="82">
        <f t="shared" si="52"/>
        <v>0</v>
      </c>
      <c r="T478" s="82">
        <f t="shared" si="53"/>
        <v>-449.99999999998545</v>
      </c>
      <c r="U478" s="82">
        <f t="shared" si="54"/>
        <v>0</v>
      </c>
      <c r="V478" s="83">
        <f>IF(COUNTIFS(Roster!$B$5:$B$1504,$A478,Roster!$G$5:$G$1504,"&gt;0")=0,0,SUMIFS(Roster!$H$5:$H$1504,Roster!$B$5:$B$1504,$A478,Roster!$G$5:$G$1504,_xlfn.MAXIFS(Roster!$G$5:$G$1504,Roster!$B$5:$B$1504,$A478)))</f>
        <v>0</v>
      </c>
      <c r="W478" s="101" t="str">
        <f t="shared" si="55"/>
        <v>Filled</v>
      </c>
    </row>
    <row r="479" spans="1:23" x14ac:dyDescent="0.25">
      <c r="A479" s="76" t="s">
        <v>918</v>
      </c>
      <c r="B479" s="76" t="s">
        <v>358</v>
      </c>
      <c r="C479" s="76" t="s">
        <v>905</v>
      </c>
      <c r="D479" s="97">
        <v>1</v>
      </c>
      <c r="E479" s="98" t="s">
        <v>325</v>
      </c>
      <c r="F479" s="78">
        <v>66500</v>
      </c>
      <c r="G479" s="97">
        <v>1</v>
      </c>
      <c r="H479" s="98" t="s">
        <v>399</v>
      </c>
      <c r="J479" s="99">
        <f>1+Assumptions!$B$11+INDEX(Assumptions!$B$12:$B$15,D479)*Assumptions!$B$16</f>
        <v>1.3</v>
      </c>
      <c r="K479" s="82">
        <f t="shared" si="49"/>
        <v>86450</v>
      </c>
      <c r="L479" s="100">
        <f>IF(E479="Yes",MAX(0,Assumptions!$B$8-G479+1),0)</f>
        <v>8</v>
      </c>
      <c r="M479" s="82">
        <f t="shared" si="50"/>
        <v>57633.333333333336</v>
      </c>
      <c r="N479" s="100">
        <f>MIN(1,SUMIFS(Roster!$N$5:$N$1504,Roster!$B$5:$B$1504,$A479))</f>
        <v>1</v>
      </c>
      <c r="O479" s="100">
        <f>SUMIFS(Roster!$L$5:$L$1504,Roster!$B$5:$B$1504,$A479)</f>
        <v>8</v>
      </c>
      <c r="P479" s="83">
        <f>SUMIFS(Roster!$M$5:$M$1504,Roster!$B$5:$B$1504,$A479)*J479</f>
        <v>57806.666666666664</v>
      </c>
      <c r="Q479" s="83">
        <f>SUMIFS(Roster!$O$5:$O$1504,Roster!$B$5:$B$1504,$A479)*J479</f>
        <v>86710</v>
      </c>
      <c r="R479" s="82">
        <f t="shared" si="51"/>
        <v>86710</v>
      </c>
      <c r="S479" s="82">
        <f t="shared" si="52"/>
        <v>0</v>
      </c>
      <c r="T479" s="82">
        <f t="shared" si="53"/>
        <v>-173.33333333332848</v>
      </c>
      <c r="U479" s="82">
        <f t="shared" si="54"/>
        <v>0</v>
      </c>
      <c r="V479" s="83">
        <f>IF(COUNTIFS(Roster!$B$5:$B$1504,$A479,Roster!$G$5:$G$1504,"&gt;0")=0,0,SUMIFS(Roster!$H$5:$H$1504,Roster!$B$5:$B$1504,$A479,Roster!$G$5:$G$1504,_xlfn.MAXIFS(Roster!$G$5:$G$1504,Roster!$B$5:$B$1504,$A479)))</f>
        <v>0</v>
      </c>
      <c r="W479" s="101" t="str">
        <f t="shared" si="55"/>
        <v>Filled</v>
      </c>
    </row>
    <row r="480" spans="1:23" x14ac:dyDescent="0.25">
      <c r="A480" s="76" t="s">
        <v>919</v>
      </c>
      <c r="B480" s="76" t="s">
        <v>358</v>
      </c>
      <c r="C480" s="76" t="s">
        <v>905</v>
      </c>
      <c r="D480" s="97">
        <v>1</v>
      </c>
      <c r="E480" s="98" t="s">
        <v>325</v>
      </c>
      <c r="F480" s="78">
        <v>58000</v>
      </c>
      <c r="G480" s="97">
        <v>1</v>
      </c>
      <c r="H480" s="98" t="s">
        <v>399</v>
      </c>
      <c r="J480" s="99">
        <f>1+Assumptions!$B$11+INDEX(Assumptions!$B$12:$B$15,D480)*Assumptions!$B$16</f>
        <v>1.3</v>
      </c>
      <c r="K480" s="82">
        <f t="shared" si="49"/>
        <v>75400</v>
      </c>
      <c r="L480" s="100">
        <f>IF(E480="Yes",MAX(0,Assumptions!$B$8-G480+1),0)</f>
        <v>8</v>
      </c>
      <c r="M480" s="82">
        <f t="shared" si="50"/>
        <v>50266.666666666664</v>
      </c>
      <c r="N480" s="100">
        <f>MIN(1,SUMIFS(Roster!$N$5:$N$1504,Roster!$B$5:$B$1504,$A480))</f>
        <v>1</v>
      </c>
      <c r="O480" s="100">
        <f>SUMIFS(Roster!$L$5:$L$1504,Roster!$B$5:$B$1504,$A480)</f>
        <v>8</v>
      </c>
      <c r="P480" s="83">
        <f>SUMIFS(Roster!$M$5:$M$1504,Roster!$B$5:$B$1504,$A480)*J480</f>
        <v>50526.666666666664</v>
      </c>
      <c r="Q480" s="83">
        <f>SUMIFS(Roster!$O$5:$O$1504,Roster!$B$5:$B$1504,$A480)*J480</f>
        <v>75790</v>
      </c>
      <c r="R480" s="82">
        <f t="shared" si="51"/>
        <v>75790</v>
      </c>
      <c r="S480" s="82">
        <f t="shared" si="52"/>
        <v>0</v>
      </c>
      <c r="T480" s="82">
        <f t="shared" si="53"/>
        <v>-260</v>
      </c>
      <c r="U480" s="82">
        <f t="shared" si="54"/>
        <v>0</v>
      </c>
      <c r="V480" s="83">
        <f>IF(COUNTIFS(Roster!$B$5:$B$1504,$A480,Roster!$G$5:$G$1504,"&gt;0")=0,0,SUMIFS(Roster!$H$5:$H$1504,Roster!$B$5:$B$1504,$A480,Roster!$G$5:$G$1504,_xlfn.MAXIFS(Roster!$G$5:$G$1504,Roster!$B$5:$B$1504,$A480)))</f>
        <v>0</v>
      </c>
      <c r="W480" s="101" t="str">
        <f t="shared" si="55"/>
        <v>Filled</v>
      </c>
    </row>
    <row r="481" spans="1:23" x14ac:dyDescent="0.25">
      <c r="A481" s="76" t="s">
        <v>920</v>
      </c>
      <c r="B481" s="76" t="s">
        <v>358</v>
      </c>
      <c r="C481" s="76" t="s">
        <v>905</v>
      </c>
      <c r="D481" s="97">
        <v>1</v>
      </c>
      <c r="E481" s="98" t="s">
        <v>325</v>
      </c>
      <c r="F481" s="78">
        <v>55000</v>
      </c>
      <c r="G481" s="97">
        <v>1</v>
      </c>
      <c r="H481" s="98" t="s">
        <v>399</v>
      </c>
      <c r="J481" s="99">
        <f>1+Assumptions!$B$11+INDEX(Assumptions!$B$12:$B$15,D481)*Assumptions!$B$16</f>
        <v>1.3</v>
      </c>
      <c r="K481" s="82">
        <f t="shared" si="49"/>
        <v>71500</v>
      </c>
      <c r="L481" s="100">
        <f>IF(E481="Yes",MAX(0,Assumptions!$B$8-G481+1),0)</f>
        <v>8</v>
      </c>
      <c r="M481" s="82">
        <f t="shared" si="50"/>
        <v>47666.666666666664</v>
      </c>
      <c r="N481" s="100">
        <f>MIN(1,SUMIFS(Roster!$N$5:$N$1504,Roster!$B$5:$B$1504,$A481))</f>
        <v>1</v>
      </c>
      <c r="O481" s="100">
        <f>SUMIFS(Roster!$L$5:$L$1504,Roster!$B$5:$B$1504,$A481)</f>
        <v>8</v>
      </c>
      <c r="P481" s="83">
        <f>SUMIFS(Roster!$M$5:$M$1504,Roster!$B$5:$B$1504,$A481)*J481</f>
        <v>47493.333333333336</v>
      </c>
      <c r="Q481" s="83">
        <f>SUMIFS(Roster!$O$5:$O$1504,Roster!$B$5:$B$1504,$A481)*J481</f>
        <v>71240</v>
      </c>
      <c r="R481" s="82">
        <f t="shared" si="51"/>
        <v>71240</v>
      </c>
      <c r="S481" s="82">
        <f t="shared" si="52"/>
        <v>0</v>
      </c>
      <c r="T481" s="82">
        <f t="shared" si="53"/>
        <v>173.33333333332848</v>
      </c>
      <c r="U481" s="82">
        <f t="shared" si="54"/>
        <v>0</v>
      </c>
      <c r="V481" s="83">
        <f>IF(COUNTIFS(Roster!$B$5:$B$1504,$A481,Roster!$G$5:$G$1504,"&gt;0")=0,0,SUMIFS(Roster!$H$5:$H$1504,Roster!$B$5:$B$1504,$A481,Roster!$G$5:$G$1504,_xlfn.MAXIFS(Roster!$G$5:$G$1504,Roster!$B$5:$B$1504,$A481)))</f>
        <v>0</v>
      </c>
      <c r="W481" s="101" t="str">
        <f t="shared" si="55"/>
        <v>Filled</v>
      </c>
    </row>
    <row r="482" spans="1:23" x14ac:dyDescent="0.25">
      <c r="A482" s="76" t="s">
        <v>921</v>
      </c>
      <c r="B482" s="76" t="s">
        <v>358</v>
      </c>
      <c r="C482" s="76" t="s">
        <v>905</v>
      </c>
      <c r="D482" s="97">
        <v>1</v>
      </c>
      <c r="E482" s="98" t="s">
        <v>325</v>
      </c>
      <c r="F482" s="78">
        <v>67000</v>
      </c>
      <c r="G482" s="97">
        <v>1</v>
      </c>
      <c r="H482" s="98" t="s">
        <v>399</v>
      </c>
      <c r="J482" s="99">
        <f>1+Assumptions!$B$11+INDEX(Assumptions!$B$12:$B$15,D482)*Assumptions!$B$16</f>
        <v>1.3</v>
      </c>
      <c r="K482" s="82">
        <f t="shared" si="49"/>
        <v>87100</v>
      </c>
      <c r="L482" s="100">
        <f>IF(E482="Yes",MAX(0,Assumptions!$B$8-G482+1),0)</f>
        <v>8</v>
      </c>
      <c r="M482" s="82">
        <f t="shared" si="50"/>
        <v>58066.666666666664</v>
      </c>
      <c r="N482" s="100">
        <f>MIN(1,SUMIFS(Roster!$N$5:$N$1504,Roster!$B$5:$B$1504,$A482))</f>
        <v>1</v>
      </c>
      <c r="O482" s="100">
        <f>SUMIFS(Roster!$L$5:$L$1504,Roster!$B$5:$B$1504,$A482)</f>
        <v>8</v>
      </c>
      <c r="P482" s="83">
        <f>SUMIFS(Roster!$M$5:$M$1504,Roster!$B$5:$B$1504,$A482)*J482</f>
        <v>57633.333333333336</v>
      </c>
      <c r="Q482" s="83">
        <f>SUMIFS(Roster!$O$5:$O$1504,Roster!$B$5:$B$1504,$A482)*J482</f>
        <v>86450</v>
      </c>
      <c r="R482" s="82">
        <f t="shared" si="51"/>
        <v>86450</v>
      </c>
      <c r="S482" s="82">
        <f t="shared" si="52"/>
        <v>0</v>
      </c>
      <c r="T482" s="82">
        <f t="shared" si="53"/>
        <v>433.33333333332848</v>
      </c>
      <c r="U482" s="82">
        <f t="shared" si="54"/>
        <v>0</v>
      </c>
      <c r="V482" s="83">
        <f>IF(COUNTIFS(Roster!$B$5:$B$1504,$A482,Roster!$G$5:$G$1504,"&gt;0")=0,0,SUMIFS(Roster!$H$5:$H$1504,Roster!$B$5:$B$1504,$A482,Roster!$G$5:$G$1504,_xlfn.MAXIFS(Roster!$G$5:$G$1504,Roster!$B$5:$B$1504,$A482)))</f>
        <v>0</v>
      </c>
      <c r="W482" s="101" t="str">
        <f t="shared" si="55"/>
        <v>Filled</v>
      </c>
    </row>
    <row r="483" spans="1:23" x14ac:dyDescent="0.25">
      <c r="A483" s="76" t="s">
        <v>922</v>
      </c>
      <c r="B483" s="76" t="s">
        <v>358</v>
      </c>
      <c r="C483" s="76" t="s">
        <v>907</v>
      </c>
      <c r="D483" s="97">
        <v>2</v>
      </c>
      <c r="E483" s="98" t="s">
        <v>325</v>
      </c>
      <c r="F483" s="78">
        <v>92500</v>
      </c>
      <c r="G483" s="97">
        <v>1</v>
      </c>
      <c r="H483" s="98" t="s">
        <v>399</v>
      </c>
      <c r="J483" s="99">
        <f>1+Assumptions!$B$11+INDEX(Assumptions!$B$12:$B$15,D483)*Assumptions!$B$16</f>
        <v>1.35</v>
      </c>
      <c r="K483" s="82">
        <f t="shared" si="49"/>
        <v>124875.00000000001</v>
      </c>
      <c r="L483" s="100">
        <f>IF(E483="Yes",MAX(0,Assumptions!$B$8-G483+1),0)</f>
        <v>8</v>
      </c>
      <c r="M483" s="82">
        <f t="shared" si="50"/>
        <v>83250.000000000015</v>
      </c>
      <c r="N483" s="100">
        <f>MIN(1,SUMIFS(Roster!$N$5:$N$1504,Roster!$B$5:$B$1504,$A483))</f>
        <v>1</v>
      </c>
      <c r="O483" s="100">
        <f>SUMIFS(Roster!$L$5:$L$1504,Roster!$B$5:$B$1504,$A483)</f>
        <v>8</v>
      </c>
      <c r="P483" s="83">
        <f>SUMIFS(Roster!$M$5:$M$1504,Roster!$B$5:$B$1504,$A483)*J483</f>
        <v>82350</v>
      </c>
      <c r="Q483" s="83">
        <f>SUMIFS(Roster!$O$5:$O$1504,Roster!$B$5:$B$1504,$A483)*J483</f>
        <v>123525.00000000001</v>
      </c>
      <c r="R483" s="82">
        <f t="shared" si="51"/>
        <v>123525.00000000001</v>
      </c>
      <c r="S483" s="82">
        <f t="shared" si="52"/>
        <v>0</v>
      </c>
      <c r="T483" s="82">
        <f t="shared" si="53"/>
        <v>900.00000000001455</v>
      </c>
      <c r="U483" s="82">
        <f t="shared" si="54"/>
        <v>0</v>
      </c>
      <c r="V483" s="83">
        <f>IF(COUNTIFS(Roster!$B$5:$B$1504,$A483,Roster!$G$5:$G$1504,"&gt;0")=0,0,SUMIFS(Roster!$H$5:$H$1504,Roster!$B$5:$B$1504,$A483,Roster!$G$5:$G$1504,_xlfn.MAXIFS(Roster!$G$5:$G$1504,Roster!$B$5:$B$1504,$A483)))</f>
        <v>0</v>
      </c>
      <c r="W483" s="101" t="str">
        <f t="shared" si="55"/>
        <v>Filled</v>
      </c>
    </row>
    <row r="484" spans="1:23" x14ac:dyDescent="0.25">
      <c r="A484" s="76" t="s">
        <v>923</v>
      </c>
      <c r="B484" s="76" t="s">
        <v>358</v>
      </c>
      <c r="C484" s="76" t="s">
        <v>905</v>
      </c>
      <c r="D484" s="97">
        <v>1</v>
      </c>
      <c r="E484" s="98" t="s">
        <v>325</v>
      </c>
      <c r="F484" s="78">
        <v>56000</v>
      </c>
      <c r="G484" s="97">
        <v>1</v>
      </c>
      <c r="H484" s="98" t="s">
        <v>399</v>
      </c>
      <c r="J484" s="99">
        <f>1+Assumptions!$B$11+INDEX(Assumptions!$B$12:$B$15,D484)*Assumptions!$B$16</f>
        <v>1.3</v>
      </c>
      <c r="K484" s="82">
        <f t="shared" si="49"/>
        <v>72800</v>
      </c>
      <c r="L484" s="100">
        <f>IF(E484="Yes",MAX(0,Assumptions!$B$8-G484+1),0)</f>
        <v>8</v>
      </c>
      <c r="M484" s="82">
        <f t="shared" si="50"/>
        <v>48533.333333333336</v>
      </c>
      <c r="N484" s="100">
        <f>MIN(1,SUMIFS(Roster!$N$5:$N$1504,Roster!$B$5:$B$1504,$A484))</f>
        <v>1</v>
      </c>
      <c r="O484" s="100">
        <f>SUMIFS(Roster!$L$5:$L$1504,Roster!$B$5:$B$1504,$A484)</f>
        <v>8</v>
      </c>
      <c r="P484" s="83">
        <f>SUMIFS(Roster!$M$5:$M$1504,Roster!$B$5:$B$1504,$A484)*J484</f>
        <v>48100</v>
      </c>
      <c r="Q484" s="83">
        <f>SUMIFS(Roster!$O$5:$O$1504,Roster!$B$5:$B$1504,$A484)*J484</f>
        <v>72150</v>
      </c>
      <c r="R484" s="82">
        <f t="shared" si="51"/>
        <v>72150</v>
      </c>
      <c r="S484" s="82">
        <f t="shared" si="52"/>
        <v>0</v>
      </c>
      <c r="T484" s="82">
        <f t="shared" si="53"/>
        <v>433.33333333333576</v>
      </c>
      <c r="U484" s="82">
        <f t="shared" si="54"/>
        <v>0</v>
      </c>
      <c r="V484" s="83">
        <f>IF(COUNTIFS(Roster!$B$5:$B$1504,$A484,Roster!$G$5:$G$1504,"&gt;0")=0,0,SUMIFS(Roster!$H$5:$H$1504,Roster!$B$5:$B$1504,$A484,Roster!$G$5:$G$1504,_xlfn.MAXIFS(Roster!$G$5:$G$1504,Roster!$B$5:$B$1504,$A484)))</f>
        <v>0</v>
      </c>
      <c r="W484" s="101" t="str">
        <f t="shared" si="55"/>
        <v>Filled</v>
      </c>
    </row>
    <row r="485" spans="1:23" x14ac:dyDescent="0.25">
      <c r="A485" s="76" t="s">
        <v>924</v>
      </c>
      <c r="B485" s="76" t="s">
        <v>358</v>
      </c>
      <c r="C485" s="76" t="s">
        <v>905</v>
      </c>
      <c r="D485" s="97">
        <v>1</v>
      </c>
      <c r="E485" s="98" t="s">
        <v>325</v>
      </c>
      <c r="F485" s="78">
        <v>53000</v>
      </c>
      <c r="G485" s="97">
        <v>1</v>
      </c>
      <c r="H485" s="98" t="s">
        <v>399</v>
      </c>
      <c r="J485" s="99">
        <f>1+Assumptions!$B$11+INDEX(Assumptions!$B$12:$B$15,D485)*Assumptions!$B$16</f>
        <v>1.3</v>
      </c>
      <c r="K485" s="82">
        <f t="shared" si="49"/>
        <v>68900</v>
      </c>
      <c r="L485" s="100">
        <f>IF(E485="Yes",MAX(0,Assumptions!$B$8-G485+1),0)</f>
        <v>8</v>
      </c>
      <c r="M485" s="82">
        <f t="shared" si="50"/>
        <v>45933.333333333336</v>
      </c>
      <c r="N485" s="100">
        <f>MIN(1,SUMIFS(Roster!$N$5:$N$1504,Roster!$B$5:$B$1504,$A485))</f>
        <v>1</v>
      </c>
      <c r="O485" s="100">
        <f>SUMIFS(Roster!$L$5:$L$1504,Roster!$B$5:$B$1504,$A485)</f>
        <v>8</v>
      </c>
      <c r="P485" s="83">
        <f>SUMIFS(Roster!$M$5:$M$1504,Roster!$B$5:$B$1504,$A485)*J485</f>
        <v>45586.666666666664</v>
      </c>
      <c r="Q485" s="83">
        <f>SUMIFS(Roster!$O$5:$O$1504,Roster!$B$5:$B$1504,$A485)*J485</f>
        <v>68380</v>
      </c>
      <c r="R485" s="82">
        <f t="shared" si="51"/>
        <v>68380</v>
      </c>
      <c r="S485" s="82">
        <f t="shared" si="52"/>
        <v>0</v>
      </c>
      <c r="T485" s="82">
        <f t="shared" si="53"/>
        <v>346.66666666667152</v>
      </c>
      <c r="U485" s="82">
        <f t="shared" si="54"/>
        <v>0</v>
      </c>
      <c r="V485" s="83">
        <f>IF(COUNTIFS(Roster!$B$5:$B$1504,$A485,Roster!$G$5:$G$1504,"&gt;0")=0,0,SUMIFS(Roster!$H$5:$H$1504,Roster!$B$5:$B$1504,$A485,Roster!$G$5:$G$1504,_xlfn.MAXIFS(Roster!$G$5:$G$1504,Roster!$B$5:$B$1504,$A485)))</f>
        <v>0</v>
      </c>
      <c r="W485" s="101" t="str">
        <f t="shared" si="55"/>
        <v>Filled</v>
      </c>
    </row>
    <row r="486" spans="1:23" x14ac:dyDescent="0.25">
      <c r="A486" s="76" t="s">
        <v>925</v>
      </c>
      <c r="B486" s="76" t="s">
        <v>358</v>
      </c>
      <c r="C486" s="76" t="s">
        <v>905</v>
      </c>
      <c r="D486" s="97">
        <v>1</v>
      </c>
      <c r="E486" s="98" t="s">
        <v>325</v>
      </c>
      <c r="F486" s="78">
        <v>53000</v>
      </c>
      <c r="G486" s="97">
        <v>1</v>
      </c>
      <c r="H486" s="98" t="s">
        <v>399</v>
      </c>
      <c r="J486" s="99">
        <f>1+Assumptions!$B$11+INDEX(Assumptions!$B$12:$B$15,D486)*Assumptions!$B$16</f>
        <v>1.3</v>
      </c>
      <c r="K486" s="82">
        <f t="shared" si="49"/>
        <v>68900</v>
      </c>
      <c r="L486" s="100">
        <f>IF(E486="Yes",MAX(0,Assumptions!$B$8-G486+1),0)</f>
        <v>8</v>
      </c>
      <c r="M486" s="82">
        <f t="shared" si="50"/>
        <v>45933.333333333336</v>
      </c>
      <c r="N486" s="100">
        <f>MIN(1,SUMIFS(Roster!$N$5:$N$1504,Roster!$B$5:$B$1504,$A486))</f>
        <v>1</v>
      </c>
      <c r="O486" s="100">
        <f>SUMIFS(Roster!$L$5:$L$1504,Roster!$B$5:$B$1504,$A486)</f>
        <v>8</v>
      </c>
      <c r="P486" s="83">
        <f>SUMIFS(Roster!$M$5:$M$1504,Roster!$B$5:$B$1504,$A486)*J486</f>
        <v>45760</v>
      </c>
      <c r="Q486" s="83">
        <f>SUMIFS(Roster!$O$5:$O$1504,Roster!$B$5:$B$1504,$A486)*J486</f>
        <v>68640</v>
      </c>
      <c r="R486" s="82">
        <f t="shared" si="51"/>
        <v>68640</v>
      </c>
      <c r="S486" s="82">
        <f t="shared" si="52"/>
        <v>0</v>
      </c>
      <c r="T486" s="82">
        <f t="shared" si="53"/>
        <v>173.33333333333576</v>
      </c>
      <c r="U486" s="82">
        <f t="shared" si="54"/>
        <v>0</v>
      </c>
      <c r="V486" s="83">
        <f>IF(COUNTIFS(Roster!$B$5:$B$1504,$A486,Roster!$G$5:$G$1504,"&gt;0")=0,0,SUMIFS(Roster!$H$5:$H$1504,Roster!$B$5:$B$1504,$A486,Roster!$G$5:$G$1504,_xlfn.MAXIFS(Roster!$G$5:$G$1504,Roster!$B$5:$B$1504,$A486)))</f>
        <v>0</v>
      </c>
      <c r="W486" s="101" t="str">
        <f t="shared" si="55"/>
        <v>Filled</v>
      </c>
    </row>
    <row r="487" spans="1:23" x14ac:dyDescent="0.25">
      <c r="A487" s="76" t="s">
        <v>926</v>
      </c>
      <c r="B487" s="76" t="s">
        <v>358</v>
      </c>
      <c r="C487" s="76" t="s">
        <v>905</v>
      </c>
      <c r="D487" s="97">
        <v>1</v>
      </c>
      <c r="E487" s="98" t="s">
        <v>325</v>
      </c>
      <c r="F487" s="78">
        <v>60000</v>
      </c>
      <c r="G487" s="97">
        <v>1</v>
      </c>
      <c r="H487" s="98" t="s">
        <v>399</v>
      </c>
      <c r="J487" s="99">
        <f>1+Assumptions!$B$11+INDEX(Assumptions!$B$12:$B$15,D487)*Assumptions!$B$16</f>
        <v>1.3</v>
      </c>
      <c r="K487" s="82">
        <f t="shared" si="49"/>
        <v>78000</v>
      </c>
      <c r="L487" s="100">
        <f>IF(E487="Yes",MAX(0,Assumptions!$B$8-G487+1),0)</f>
        <v>8</v>
      </c>
      <c r="M487" s="82">
        <f t="shared" si="50"/>
        <v>52000</v>
      </c>
      <c r="N487" s="100">
        <f>MIN(1,SUMIFS(Roster!$N$5:$N$1504,Roster!$B$5:$B$1504,$A487))</f>
        <v>1</v>
      </c>
      <c r="O487" s="100">
        <f>SUMIFS(Roster!$L$5:$L$1504,Roster!$B$5:$B$1504,$A487)</f>
        <v>8</v>
      </c>
      <c r="P487" s="83">
        <f>SUMIFS(Roster!$M$5:$M$1504,Roster!$B$5:$B$1504,$A487)*J487</f>
        <v>51913.333333333336</v>
      </c>
      <c r="Q487" s="83">
        <f>SUMIFS(Roster!$O$5:$O$1504,Roster!$B$5:$B$1504,$A487)*J487</f>
        <v>77870</v>
      </c>
      <c r="R487" s="82">
        <f t="shared" si="51"/>
        <v>77870</v>
      </c>
      <c r="S487" s="82">
        <f t="shared" si="52"/>
        <v>0</v>
      </c>
      <c r="T487" s="82">
        <f t="shared" si="53"/>
        <v>86.666666666664241</v>
      </c>
      <c r="U487" s="82">
        <f t="shared" si="54"/>
        <v>0</v>
      </c>
      <c r="V487" s="83">
        <f>IF(COUNTIFS(Roster!$B$5:$B$1504,$A487,Roster!$G$5:$G$1504,"&gt;0")=0,0,SUMIFS(Roster!$H$5:$H$1504,Roster!$B$5:$B$1504,$A487,Roster!$G$5:$G$1504,_xlfn.MAXIFS(Roster!$G$5:$G$1504,Roster!$B$5:$B$1504,$A487)))</f>
        <v>0</v>
      </c>
      <c r="W487" s="101" t="str">
        <f t="shared" si="55"/>
        <v>Filled</v>
      </c>
    </row>
    <row r="488" spans="1:23" x14ac:dyDescent="0.25">
      <c r="A488" s="76" t="s">
        <v>927</v>
      </c>
      <c r="B488" s="76" t="s">
        <v>358</v>
      </c>
      <c r="C488" s="76" t="s">
        <v>905</v>
      </c>
      <c r="D488" s="97">
        <v>1</v>
      </c>
      <c r="E488" s="98" t="s">
        <v>325</v>
      </c>
      <c r="F488" s="78">
        <v>55500</v>
      </c>
      <c r="G488" s="97">
        <v>1</v>
      </c>
      <c r="H488" s="98" t="s">
        <v>399</v>
      </c>
      <c r="J488" s="99">
        <f>1+Assumptions!$B$11+INDEX(Assumptions!$B$12:$B$15,D488)*Assumptions!$B$16</f>
        <v>1.3</v>
      </c>
      <c r="K488" s="82">
        <f t="shared" si="49"/>
        <v>72150</v>
      </c>
      <c r="L488" s="100">
        <f>IF(E488="Yes",MAX(0,Assumptions!$B$8-G488+1),0)</f>
        <v>8</v>
      </c>
      <c r="M488" s="82">
        <f t="shared" si="50"/>
        <v>48100</v>
      </c>
      <c r="N488" s="100">
        <f>MIN(1,SUMIFS(Roster!$N$5:$N$1504,Roster!$B$5:$B$1504,$A488))</f>
        <v>1</v>
      </c>
      <c r="O488" s="100">
        <f>SUMIFS(Roster!$L$5:$L$1504,Roster!$B$5:$B$1504,$A488)</f>
        <v>8</v>
      </c>
      <c r="P488" s="83">
        <f>SUMIFS(Roster!$M$5:$M$1504,Roster!$B$5:$B$1504,$A488)*J488</f>
        <v>52368.333333333336</v>
      </c>
      <c r="Q488" s="83">
        <f>SUMIFS(Roster!$O$5:$O$1504,Roster!$B$5:$B$1504,$A488)*J488</f>
        <v>80600</v>
      </c>
      <c r="R488" s="82">
        <f t="shared" si="51"/>
        <v>80600</v>
      </c>
      <c r="S488" s="82">
        <f t="shared" si="52"/>
        <v>0</v>
      </c>
      <c r="T488" s="82">
        <f t="shared" si="53"/>
        <v>-4268.3333333333358</v>
      </c>
      <c r="U488" s="82">
        <f t="shared" si="54"/>
        <v>0</v>
      </c>
      <c r="V488" s="83">
        <f>IF(COUNTIFS(Roster!$B$5:$B$1504,$A488,Roster!$G$5:$G$1504,"&gt;0")=0,0,SUMIFS(Roster!$H$5:$H$1504,Roster!$B$5:$B$1504,$A488,Roster!$G$5:$G$1504,_xlfn.MAXIFS(Roster!$G$5:$G$1504,Roster!$B$5:$B$1504,$A488)))</f>
        <v>55700</v>
      </c>
      <c r="W488" s="101" t="str">
        <f t="shared" si="55"/>
        <v>Filled</v>
      </c>
    </row>
    <row r="489" spans="1:23" x14ac:dyDescent="0.25">
      <c r="A489" s="76" t="s">
        <v>928</v>
      </c>
      <c r="B489" s="76" t="s">
        <v>358</v>
      </c>
      <c r="C489" s="76" t="s">
        <v>907</v>
      </c>
      <c r="D489" s="97">
        <v>2</v>
      </c>
      <c r="E489" s="98" t="s">
        <v>325</v>
      </c>
      <c r="F489" s="78">
        <v>85000</v>
      </c>
      <c r="G489" s="97">
        <v>1</v>
      </c>
      <c r="H489" s="98" t="s">
        <v>399</v>
      </c>
      <c r="J489" s="99">
        <f>1+Assumptions!$B$11+INDEX(Assumptions!$B$12:$B$15,D489)*Assumptions!$B$16</f>
        <v>1.35</v>
      </c>
      <c r="K489" s="82">
        <f t="shared" si="49"/>
        <v>114750.00000000001</v>
      </c>
      <c r="L489" s="100">
        <f>IF(E489="Yes",MAX(0,Assumptions!$B$8-G489+1),0)</f>
        <v>8</v>
      </c>
      <c r="M489" s="82">
        <f t="shared" si="50"/>
        <v>76500.000000000015</v>
      </c>
      <c r="N489" s="100">
        <f>MIN(1,SUMIFS(Roster!$N$5:$N$1504,Roster!$B$5:$B$1504,$A489))</f>
        <v>1</v>
      </c>
      <c r="O489" s="100">
        <f>SUMIFS(Roster!$L$5:$L$1504,Roster!$B$5:$B$1504,$A489)</f>
        <v>8</v>
      </c>
      <c r="P489" s="83">
        <f>SUMIFS(Roster!$M$5:$M$1504,Roster!$B$5:$B$1504,$A489)*J489</f>
        <v>76230</v>
      </c>
      <c r="Q489" s="83">
        <f>SUMIFS(Roster!$O$5:$O$1504,Roster!$B$5:$B$1504,$A489)*J489</f>
        <v>114345.00000000001</v>
      </c>
      <c r="R489" s="82">
        <f t="shared" si="51"/>
        <v>114345.00000000001</v>
      </c>
      <c r="S489" s="82">
        <f t="shared" si="52"/>
        <v>0</v>
      </c>
      <c r="T489" s="82">
        <f t="shared" si="53"/>
        <v>270.00000000001455</v>
      </c>
      <c r="U489" s="82">
        <f t="shared" si="54"/>
        <v>0</v>
      </c>
      <c r="V489" s="83">
        <f>IF(COUNTIFS(Roster!$B$5:$B$1504,$A489,Roster!$G$5:$G$1504,"&gt;0")=0,0,SUMIFS(Roster!$H$5:$H$1504,Roster!$B$5:$B$1504,$A489,Roster!$G$5:$G$1504,_xlfn.MAXIFS(Roster!$G$5:$G$1504,Roster!$B$5:$B$1504,$A489)))</f>
        <v>0</v>
      </c>
      <c r="W489" s="101" t="str">
        <f t="shared" si="55"/>
        <v>Filled</v>
      </c>
    </row>
    <row r="490" spans="1:23" x14ac:dyDescent="0.25">
      <c r="A490" s="76" t="s">
        <v>929</v>
      </c>
      <c r="B490" s="76" t="s">
        <v>358</v>
      </c>
      <c r="C490" s="76" t="s">
        <v>905</v>
      </c>
      <c r="D490" s="97">
        <v>1</v>
      </c>
      <c r="E490" s="98" t="s">
        <v>325</v>
      </c>
      <c r="F490" s="78">
        <v>55500</v>
      </c>
      <c r="G490" s="97">
        <v>1</v>
      </c>
      <c r="H490" s="98" t="s">
        <v>399</v>
      </c>
      <c r="J490" s="99">
        <f>1+Assumptions!$B$11+INDEX(Assumptions!$B$12:$B$15,D490)*Assumptions!$B$16</f>
        <v>1.3</v>
      </c>
      <c r="K490" s="82">
        <f t="shared" si="49"/>
        <v>72150</v>
      </c>
      <c r="L490" s="100">
        <f>IF(E490="Yes",MAX(0,Assumptions!$B$8-G490+1),0)</f>
        <v>8</v>
      </c>
      <c r="M490" s="82">
        <f t="shared" si="50"/>
        <v>48100</v>
      </c>
      <c r="N490" s="100">
        <f>MIN(1,SUMIFS(Roster!$N$5:$N$1504,Roster!$B$5:$B$1504,$A490))</f>
        <v>1</v>
      </c>
      <c r="O490" s="100">
        <f>SUMIFS(Roster!$L$5:$L$1504,Roster!$B$5:$B$1504,$A490)</f>
        <v>8</v>
      </c>
      <c r="P490" s="83">
        <f>SUMIFS(Roster!$M$5:$M$1504,Roster!$B$5:$B$1504,$A490)*J490</f>
        <v>47666.666666666664</v>
      </c>
      <c r="Q490" s="83">
        <f>SUMIFS(Roster!$O$5:$O$1504,Roster!$B$5:$B$1504,$A490)*J490</f>
        <v>71500</v>
      </c>
      <c r="R490" s="82">
        <f t="shared" si="51"/>
        <v>71500</v>
      </c>
      <c r="S490" s="82">
        <f t="shared" si="52"/>
        <v>0</v>
      </c>
      <c r="T490" s="82">
        <f t="shared" si="53"/>
        <v>433.33333333333576</v>
      </c>
      <c r="U490" s="82">
        <f t="shared" si="54"/>
        <v>0</v>
      </c>
      <c r="V490" s="83">
        <f>IF(COUNTIFS(Roster!$B$5:$B$1504,$A490,Roster!$G$5:$G$1504,"&gt;0")=0,0,SUMIFS(Roster!$H$5:$H$1504,Roster!$B$5:$B$1504,$A490,Roster!$G$5:$G$1504,_xlfn.MAXIFS(Roster!$G$5:$G$1504,Roster!$B$5:$B$1504,$A490)))</f>
        <v>0</v>
      </c>
      <c r="W490" s="101" t="str">
        <f t="shared" si="55"/>
        <v>Filled</v>
      </c>
    </row>
    <row r="491" spans="1:23" x14ac:dyDescent="0.25">
      <c r="A491" s="76" t="s">
        <v>930</v>
      </c>
      <c r="B491" s="76" t="s">
        <v>358</v>
      </c>
      <c r="C491" s="76" t="s">
        <v>905</v>
      </c>
      <c r="D491" s="97">
        <v>1</v>
      </c>
      <c r="E491" s="98" t="s">
        <v>325</v>
      </c>
      <c r="F491" s="78">
        <v>63000</v>
      </c>
      <c r="G491" s="97">
        <v>1</v>
      </c>
      <c r="H491" s="98" t="s">
        <v>399</v>
      </c>
      <c r="J491" s="99">
        <f>1+Assumptions!$B$11+INDEX(Assumptions!$B$12:$B$15,D491)*Assumptions!$B$16</f>
        <v>1.3</v>
      </c>
      <c r="K491" s="82">
        <f t="shared" si="49"/>
        <v>81900</v>
      </c>
      <c r="L491" s="100">
        <f>IF(E491="Yes",MAX(0,Assumptions!$B$8-G491+1),0)</f>
        <v>8</v>
      </c>
      <c r="M491" s="82">
        <f t="shared" si="50"/>
        <v>54600</v>
      </c>
      <c r="N491" s="100">
        <f>MIN(1,SUMIFS(Roster!$N$5:$N$1504,Roster!$B$5:$B$1504,$A491))</f>
        <v>1</v>
      </c>
      <c r="O491" s="100">
        <f>SUMIFS(Roster!$L$5:$L$1504,Roster!$B$5:$B$1504,$A491)</f>
        <v>8</v>
      </c>
      <c r="P491" s="83">
        <f>SUMIFS(Roster!$M$5:$M$1504,Roster!$B$5:$B$1504,$A491)*J491</f>
        <v>55120</v>
      </c>
      <c r="Q491" s="83">
        <f>SUMIFS(Roster!$O$5:$O$1504,Roster!$B$5:$B$1504,$A491)*J491</f>
        <v>82680</v>
      </c>
      <c r="R491" s="82">
        <f t="shared" si="51"/>
        <v>82680</v>
      </c>
      <c r="S491" s="82">
        <f t="shared" si="52"/>
        <v>0</v>
      </c>
      <c r="T491" s="82">
        <f t="shared" si="53"/>
        <v>-520</v>
      </c>
      <c r="U491" s="82">
        <f t="shared" si="54"/>
        <v>0</v>
      </c>
      <c r="V491" s="83">
        <f>IF(COUNTIFS(Roster!$B$5:$B$1504,$A491,Roster!$G$5:$G$1504,"&gt;0")=0,0,SUMIFS(Roster!$H$5:$H$1504,Roster!$B$5:$B$1504,$A491,Roster!$G$5:$G$1504,_xlfn.MAXIFS(Roster!$G$5:$G$1504,Roster!$B$5:$B$1504,$A491)))</f>
        <v>0</v>
      </c>
      <c r="W491" s="101" t="str">
        <f t="shared" si="55"/>
        <v>Filled</v>
      </c>
    </row>
    <row r="492" spans="1:23" x14ac:dyDescent="0.25">
      <c r="A492" s="76" t="s">
        <v>931</v>
      </c>
      <c r="B492" s="76" t="s">
        <v>358</v>
      </c>
      <c r="C492" s="76" t="s">
        <v>909</v>
      </c>
      <c r="D492" s="97">
        <v>3</v>
      </c>
      <c r="E492" s="98" t="s">
        <v>325</v>
      </c>
      <c r="F492" s="78">
        <v>102000</v>
      </c>
      <c r="G492" s="97">
        <v>1</v>
      </c>
      <c r="H492" s="98" t="s">
        <v>399</v>
      </c>
      <c r="J492" s="99">
        <f>1+Assumptions!$B$11+INDEX(Assumptions!$B$12:$B$15,D492)*Assumptions!$B$16</f>
        <v>1.4</v>
      </c>
      <c r="K492" s="82">
        <f t="shared" si="49"/>
        <v>142800</v>
      </c>
      <c r="L492" s="100">
        <f>IF(E492="Yes",MAX(0,Assumptions!$B$8-G492+1),0)</f>
        <v>8</v>
      </c>
      <c r="M492" s="82">
        <f t="shared" si="50"/>
        <v>95200</v>
      </c>
      <c r="N492" s="100">
        <f>MIN(1,SUMIFS(Roster!$N$5:$N$1504,Roster!$B$5:$B$1504,$A492))</f>
        <v>1</v>
      </c>
      <c r="O492" s="100">
        <f>SUMIFS(Roster!$L$5:$L$1504,Roster!$B$5:$B$1504,$A492)</f>
        <v>8</v>
      </c>
      <c r="P492" s="83">
        <f>SUMIFS(Roster!$M$5:$M$1504,Roster!$B$5:$B$1504,$A492)*J492</f>
        <v>95760</v>
      </c>
      <c r="Q492" s="83">
        <f>SUMIFS(Roster!$O$5:$O$1504,Roster!$B$5:$B$1504,$A492)*J492</f>
        <v>143640</v>
      </c>
      <c r="R492" s="82">
        <f t="shared" si="51"/>
        <v>143640</v>
      </c>
      <c r="S492" s="82">
        <f t="shared" si="52"/>
        <v>0</v>
      </c>
      <c r="T492" s="82">
        <f t="shared" si="53"/>
        <v>-560</v>
      </c>
      <c r="U492" s="82">
        <f t="shared" si="54"/>
        <v>0</v>
      </c>
      <c r="V492" s="83">
        <f>IF(COUNTIFS(Roster!$B$5:$B$1504,$A492,Roster!$G$5:$G$1504,"&gt;0")=0,0,SUMIFS(Roster!$H$5:$H$1504,Roster!$B$5:$B$1504,$A492,Roster!$G$5:$G$1504,_xlfn.MAXIFS(Roster!$G$5:$G$1504,Roster!$B$5:$B$1504,$A492)))</f>
        <v>0</v>
      </c>
      <c r="W492" s="101" t="str">
        <f t="shared" si="55"/>
        <v>Filled</v>
      </c>
    </row>
    <row r="493" spans="1:23" x14ac:dyDescent="0.25">
      <c r="A493" s="76" t="s">
        <v>932</v>
      </c>
      <c r="B493" s="76" t="s">
        <v>358</v>
      </c>
      <c r="C493" s="76" t="s">
        <v>905</v>
      </c>
      <c r="D493" s="97">
        <v>1</v>
      </c>
      <c r="E493" s="98" t="s">
        <v>325</v>
      </c>
      <c r="F493" s="78">
        <v>67000</v>
      </c>
      <c r="G493" s="97">
        <v>1</v>
      </c>
      <c r="H493" s="98" t="s">
        <v>399</v>
      </c>
      <c r="J493" s="99">
        <f>1+Assumptions!$B$11+INDEX(Assumptions!$B$12:$B$15,D493)*Assumptions!$B$16</f>
        <v>1.3</v>
      </c>
      <c r="K493" s="82">
        <f t="shared" si="49"/>
        <v>87100</v>
      </c>
      <c r="L493" s="100">
        <f>IF(E493="Yes",MAX(0,Assumptions!$B$8-G493+1),0)</f>
        <v>8</v>
      </c>
      <c r="M493" s="82">
        <f t="shared" si="50"/>
        <v>58066.666666666664</v>
      </c>
      <c r="N493" s="100">
        <f>MIN(1,SUMIFS(Roster!$N$5:$N$1504,Roster!$B$5:$B$1504,$A493))</f>
        <v>1</v>
      </c>
      <c r="O493" s="100">
        <f>SUMIFS(Roster!$L$5:$L$1504,Roster!$B$5:$B$1504,$A493)</f>
        <v>8</v>
      </c>
      <c r="P493" s="83">
        <f>SUMIFS(Roster!$M$5:$M$1504,Roster!$B$5:$B$1504,$A493)*J493</f>
        <v>58326.666666666664</v>
      </c>
      <c r="Q493" s="83">
        <f>SUMIFS(Roster!$O$5:$O$1504,Roster!$B$5:$B$1504,$A493)*J493</f>
        <v>87490</v>
      </c>
      <c r="R493" s="82">
        <f t="shared" si="51"/>
        <v>87490</v>
      </c>
      <c r="S493" s="82">
        <f t="shared" si="52"/>
        <v>0</v>
      </c>
      <c r="T493" s="82">
        <f t="shared" si="53"/>
        <v>-260</v>
      </c>
      <c r="U493" s="82">
        <f t="shared" si="54"/>
        <v>0</v>
      </c>
      <c r="V493" s="83">
        <f>IF(COUNTIFS(Roster!$B$5:$B$1504,$A493,Roster!$G$5:$G$1504,"&gt;0")=0,0,SUMIFS(Roster!$H$5:$H$1504,Roster!$B$5:$B$1504,$A493,Roster!$G$5:$G$1504,_xlfn.MAXIFS(Roster!$G$5:$G$1504,Roster!$B$5:$B$1504,$A493)))</f>
        <v>0</v>
      </c>
      <c r="W493" s="101" t="str">
        <f t="shared" si="55"/>
        <v>Filled</v>
      </c>
    </row>
    <row r="494" spans="1:23" x14ac:dyDescent="0.25">
      <c r="A494" s="76" t="s">
        <v>933</v>
      </c>
      <c r="B494" s="76" t="s">
        <v>358</v>
      </c>
      <c r="C494" s="76" t="s">
        <v>905</v>
      </c>
      <c r="D494" s="97">
        <v>1</v>
      </c>
      <c r="E494" s="98" t="s">
        <v>325</v>
      </c>
      <c r="F494" s="78">
        <v>69000</v>
      </c>
      <c r="G494" s="97">
        <v>1</v>
      </c>
      <c r="H494" s="98" t="s">
        <v>399</v>
      </c>
      <c r="J494" s="99">
        <f>1+Assumptions!$B$11+INDEX(Assumptions!$B$12:$B$15,D494)*Assumptions!$B$16</f>
        <v>1.3</v>
      </c>
      <c r="K494" s="82">
        <f t="shared" si="49"/>
        <v>89700</v>
      </c>
      <c r="L494" s="100">
        <f>IF(E494="Yes",MAX(0,Assumptions!$B$8-G494+1),0)</f>
        <v>8</v>
      </c>
      <c r="M494" s="82">
        <f t="shared" si="50"/>
        <v>59800</v>
      </c>
      <c r="N494" s="100">
        <f>MIN(1,SUMIFS(Roster!$N$5:$N$1504,Roster!$B$5:$B$1504,$A494))</f>
        <v>1</v>
      </c>
      <c r="O494" s="100">
        <f>SUMIFS(Roster!$L$5:$L$1504,Roster!$B$5:$B$1504,$A494)</f>
        <v>8</v>
      </c>
      <c r="P494" s="83">
        <f>SUMIFS(Roster!$M$5:$M$1504,Roster!$B$5:$B$1504,$A494)*J494</f>
        <v>59713.333333333336</v>
      </c>
      <c r="Q494" s="83">
        <f>SUMIFS(Roster!$O$5:$O$1504,Roster!$B$5:$B$1504,$A494)*J494</f>
        <v>89570</v>
      </c>
      <c r="R494" s="82">
        <f t="shared" si="51"/>
        <v>89570</v>
      </c>
      <c r="S494" s="82">
        <f t="shared" si="52"/>
        <v>0</v>
      </c>
      <c r="T494" s="82">
        <f t="shared" si="53"/>
        <v>86.666666666664241</v>
      </c>
      <c r="U494" s="82">
        <f t="shared" si="54"/>
        <v>0</v>
      </c>
      <c r="V494" s="83">
        <f>IF(COUNTIFS(Roster!$B$5:$B$1504,$A494,Roster!$G$5:$G$1504,"&gt;0")=0,0,SUMIFS(Roster!$H$5:$H$1504,Roster!$B$5:$B$1504,$A494,Roster!$G$5:$G$1504,_xlfn.MAXIFS(Roster!$G$5:$G$1504,Roster!$B$5:$B$1504,$A494)))</f>
        <v>0</v>
      </c>
      <c r="W494" s="101" t="str">
        <f t="shared" si="55"/>
        <v>Filled</v>
      </c>
    </row>
    <row r="495" spans="1:23" x14ac:dyDescent="0.25">
      <c r="A495" s="76" t="s">
        <v>934</v>
      </c>
      <c r="B495" s="76" t="s">
        <v>358</v>
      </c>
      <c r="C495" s="76" t="s">
        <v>907</v>
      </c>
      <c r="D495" s="97">
        <v>2</v>
      </c>
      <c r="E495" s="98" t="s">
        <v>325</v>
      </c>
      <c r="F495" s="78">
        <v>86500</v>
      </c>
      <c r="G495" s="97">
        <v>1</v>
      </c>
      <c r="H495" s="98" t="s">
        <v>399</v>
      </c>
      <c r="J495" s="99">
        <f>1+Assumptions!$B$11+INDEX(Assumptions!$B$12:$B$15,D495)*Assumptions!$B$16</f>
        <v>1.35</v>
      </c>
      <c r="K495" s="82">
        <f t="shared" si="49"/>
        <v>116775.00000000001</v>
      </c>
      <c r="L495" s="100">
        <f>IF(E495="Yes",MAX(0,Assumptions!$B$8-G495+1),0)</f>
        <v>8</v>
      </c>
      <c r="M495" s="82">
        <f t="shared" si="50"/>
        <v>77850.000000000015</v>
      </c>
      <c r="N495" s="100">
        <f>MIN(1,SUMIFS(Roster!$N$5:$N$1504,Roster!$B$5:$B$1504,$A495))</f>
        <v>1</v>
      </c>
      <c r="O495" s="100">
        <f>SUMIFS(Roster!$L$5:$L$1504,Roster!$B$5:$B$1504,$A495)</f>
        <v>8</v>
      </c>
      <c r="P495" s="83">
        <f>SUMIFS(Roster!$M$5:$M$1504,Roster!$B$5:$B$1504,$A495)*J495</f>
        <v>77940.000000000015</v>
      </c>
      <c r="Q495" s="83">
        <f>SUMIFS(Roster!$O$5:$O$1504,Roster!$B$5:$B$1504,$A495)*J495</f>
        <v>116910.00000000001</v>
      </c>
      <c r="R495" s="82">
        <f t="shared" si="51"/>
        <v>116910.00000000001</v>
      </c>
      <c r="S495" s="82">
        <f t="shared" si="52"/>
        <v>0</v>
      </c>
      <c r="T495" s="82">
        <f t="shared" si="53"/>
        <v>-90</v>
      </c>
      <c r="U495" s="82">
        <f t="shared" si="54"/>
        <v>0</v>
      </c>
      <c r="V495" s="83">
        <f>IF(COUNTIFS(Roster!$B$5:$B$1504,$A495,Roster!$G$5:$G$1504,"&gt;0")=0,0,SUMIFS(Roster!$H$5:$H$1504,Roster!$B$5:$B$1504,$A495,Roster!$G$5:$G$1504,_xlfn.MAXIFS(Roster!$G$5:$G$1504,Roster!$B$5:$B$1504,$A495)))</f>
        <v>0</v>
      </c>
      <c r="W495" s="101" t="str">
        <f t="shared" si="55"/>
        <v>Filled</v>
      </c>
    </row>
    <row r="496" spans="1:23" x14ac:dyDescent="0.25">
      <c r="A496" s="76" t="s">
        <v>935</v>
      </c>
      <c r="B496" s="76" t="s">
        <v>358</v>
      </c>
      <c r="C496" s="76" t="s">
        <v>907</v>
      </c>
      <c r="D496" s="97">
        <v>2</v>
      </c>
      <c r="E496" s="98" t="s">
        <v>325</v>
      </c>
      <c r="F496" s="78">
        <v>88000</v>
      </c>
      <c r="G496" s="97">
        <v>1</v>
      </c>
      <c r="H496" s="98" t="s">
        <v>399</v>
      </c>
      <c r="J496" s="99">
        <f>1+Assumptions!$B$11+INDEX(Assumptions!$B$12:$B$15,D496)*Assumptions!$B$16</f>
        <v>1.35</v>
      </c>
      <c r="K496" s="82">
        <f t="shared" si="49"/>
        <v>118800.00000000001</v>
      </c>
      <c r="L496" s="100">
        <f>IF(E496="Yes",MAX(0,Assumptions!$B$8-G496+1),0)</f>
        <v>8</v>
      </c>
      <c r="M496" s="82">
        <f t="shared" si="50"/>
        <v>79200.000000000015</v>
      </c>
      <c r="N496" s="100">
        <f>MIN(1,SUMIFS(Roster!$N$5:$N$1504,Roster!$B$5:$B$1504,$A496))</f>
        <v>1</v>
      </c>
      <c r="O496" s="100">
        <f>SUMIFS(Roster!$L$5:$L$1504,Roster!$B$5:$B$1504,$A496)</f>
        <v>8</v>
      </c>
      <c r="P496" s="83">
        <f>SUMIFS(Roster!$M$5:$M$1504,Roster!$B$5:$B$1504,$A496)*J496</f>
        <v>80190</v>
      </c>
      <c r="Q496" s="83">
        <f>SUMIFS(Roster!$O$5:$O$1504,Roster!$B$5:$B$1504,$A496)*J496</f>
        <v>120285.00000000001</v>
      </c>
      <c r="R496" s="82">
        <f t="shared" si="51"/>
        <v>120285.00000000001</v>
      </c>
      <c r="S496" s="82">
        <f t="shared" si="52"/>
        <v>0</v>
      </c>
      <c r="T496" s="82">
        <f t="shared" si="53"/>
        <v>-989.99999999998545</v>
      </c>
      <c r="U496" s="82">
        <f t="shared" si="54"/>
        <v>0</v>
      </c>
      <c r="V496" s="83">
        <f>IF(COUNTIFS(Roster!$B$5:$B$1504,$A496,Roster!$G$5:$G$1504,"&gt;0")=0,0,SUMIFS(Roster!$H$5:$H$1504,Roster!$B$5:$B$1504,$A496,Roster!$G$5:$G$1504,_xlfn.MAXIFS(Roster!$G$5:$G$1504,Roster!$B$5:$B$1504,$A496)))</f>
        <v>0</v>
      </c>
      <c r="W496" s="101" t="str">
        <f t="shared" si="55"/>
        <v>Filled</v>
      </c>
    </row>
    <row r="497" spans="1:23" x14ac:dyDescent="0.25">
      <c r="A497" s="76" t="s">
        <v>936</v>
      </c>
      <c r="B497" s="76" t="s">
        <v>358</v>
      </c>
      <c r="C497" s="76" t="s">
        <v>905</v>
      </c>
      <c r="D497" s="97">
        <v>1</v>
      </c>
      <c r="E497" s="98" t="s">
        <v>325</v>
      </c>
      <c r="F497" s="78">
        <v>67500</v>
      </c>
      <c r="G497" s="97">
        <v>1</v>
      </c>
      <c r="H497" s="98" t="s">
        <v>399</v>
      </c>
      <c r="J497" s="99">
        <f>1+Assumptions!$B$11+INDEX(Assumptions!$B$12:$B$15,D497)*Assumptions!$B$16</f>
        <v>1.3</v>
      </c>
      <c r="K497" s="82">
        <f t="shared" si="49"/>
        <v>87750</v>
      </c>
      <c r="L497" s="100">
        <f>IF(E497="Yes",MAX(0,Assumptions!$B$8-G497+1),0)</f>
        <v>8</v>
      </c>
      <c r="M497" s="82">
        <f t="shared" si="50"/>
        <v>58500</v>
      </c>
      <c r="N497" s="100">
        <f>MIN(1,SUMIFS(Roster!$N$5:$N$1504,Roster!$B$5:$B$1504,$A497))</f>
        <v>1</v>
      </c>
      <c r="O497" s="100">
        <f>SUMIFS(Roster!$L$5:$L$1504,Roster!$B$5:$B$1504,$A497)</f>
        <v>8</v>
      </c>
      <c r="P497" s="83">
        <f>SUMIFS(Roster!$M$5:$M$1504,Roster!$B$5:$B$1504,$A497)*J497</f>
        <v>58586.666666666664</v>
      </c>
      <c r="Q497" s="83">
        <f>SUMIFS(Roster!$O$5:$O$1504,Roster!$B$5:$B$1504,$A497)*J497</f>
        <v>87880</v>
      </c>
      <c r="R497" s="82">
        <f t="shared" si="51"/>
        <v>87880</v>
      </c>
      <c r="S497" s="82">
        <f t="shared" si="52"/>
        <v>0</v>
      </c>
      <c r="T497" s="82">
        <f t="shared" si="53"/>
        <v>-86.666666666664241</v>
      </c>
      <c r="U497" s="82">
        <f t="shared" si="54"/>
        <v>0</v>
      </c>
      <c r="V497" s="83">
        <f>IF(COUNTIFS(Roster!$B$5:$B$1504,$A497,Roster!$G$5:$G$1504,"&gt;0")=0,0,SUMIFS(Roster!$H$5:$H$1504,Roster!$B$5:$B$1504,$A497,Roster!$G$5:$G$1504,_xlfn.MAXIFS(Roster!$G$5:$G$1504,Roster!$B$5:$B$1504,$A497)))</f>
        <v>0</v>
      </c>
      <c r="W497" s="101" t="str">
        <f t="shared" si="55"/>
        <v>Filled</v>
      </c>
    </row>
    <row r="498" spans="1:23" x14ac:dyDescent="0.25">
      <c r="A498" s="76" t="s">
        <v>937</v>
      </c>
      <c r="B498" s="76" t="s">
        <v>358</v>
      </c>
      <c r="C498" s="76" t="s">
        <v>905</v>
      </c>
      <c r="D498" s="97">
        <v>1</v>
      </c>
      <c r="E498" s="98" t="s">
        <v>325</v>
      </c>
      <c r="F498" s="78">
        <v>69000</v>
      </c>
      <c r="G498" s="97">
        <v>1</v>
      </c>
      <c r="H498" s="98" t="s">
        <v>399</v>
      </c>
      <c r="J498" s="99">
        <f>1+Assumptions!$B$11+INDEX(Assumptions!$B$12:$B$15,D498)*Assumptions!$B$16</f>
        <v>1.3</v>
      </c>
      <c r="K498" s="82">
        <f t="shared" si="49"/>
        <v>89700</v>
      </c>
      <c r="L498" s="100">
        <f>IF(E498="Yes",MAX(0,Assumptions!$B$8-G498+1),0)</f>
        <v>8</v>
      </c>
      <c r="M498" s="82">
        <f t="shared" si="50"/>
        <v>59800</v>
      </c>
      <c r="N498" s="100">
        <f>MIN(1,SUMIFS(Roster!$N$5:$N$1504,Roster!$B$5:$B$1504,$A498))</f>
        <v>1</v>
      </c>
      <c r="O498" s="100">
        <f>SUMIFS(Roster!$L$5:$L$1504,Roster!$B$5:$B$1504,$A498)</f>
        <v>8</v>
      </c>
      <c r="P498" s="83">
        <f>SUMIFS(Roster!$M$5:$M$1504,Roster!$B$5:$B$1504,$A498)*J498</f>
        <v>59800</v>
      </c>
      <c r="Q498" s="83">
        <f>SUMIFS(Roster!$O$5:$O$1504,Roster!$B$5:$B$1504,$A498)*J498</f>
        <v>89700</v>
      </c>
      <c r="R498" s="82">
        <f t="shared" si="51"/>
        <v>89700</v>
      </c>
      <c r="S498" s="82">
        <f t="shared" si="52"/>
        <v>0</v>
      </c>
      <c r="T498" s="82">
        <f t="shared" si="53"/>
        <v>0</v>
      </c>
      <c r="U498" s="82">
        <f t="shared" si="54"/>
        <v>0</v>
      </c>
      <c r="V498" s="83">
        <f>IF(COUNTIFS(Roster!$B$5:$B$1504,$A498,Roster!$G$5:$G$1504,"&gt;0")=0,0,SUMIFS(Roster!$H$5:$H$1504,Roster!$B$5:$B$1504,$A498,Roster!$G$5:$G$1504,_xlfn.MAXIFS(Roster!$G$5:$G$1504,Roster!$B$5:$B$1504,$A498)))</f>
        <v>0</v>
      </c>
      <c r="W498" s="101" t="str">
        <f t="shared" si="55"/>
        <v>Filled</v>
      </c>
    </row>
    <row r="499" spans="1:23" x14ac:dyDescent="0.25">
      <c r="A499" s="76" t="s">
        <v>938</v>
      </c>
      <c r="B499" s="76" t="s">
        <v>358</v>
      </c>
      <c r="C499" s="76" t="s">
        <v>905</v>
      </c>
      <c r="D499" s="97">
        <v>1</v>
      </c>
      <c r="E499" s="98" t="s">
        <v>325</v>
      </c>
      <c r="F499" s="78">
        <v>59000</v>
      </c>
      <c r="G499" s="97">
        <v>1</v>
      </c>
      <c r="H499" s="98" t="s">
        <v>399</v>
      </c>
      <c r="J499" s="99">
        <f>1+Assumptions!$B$11+INDEX(Assumptions!$B$12:$B$15,D499)*Assumptions!$B$16</f>
        <v>1.3</v>
      </c>
      <c r="K499" s="82">
        <f t="shared" si="49"/>
        <v>76700</v>
      </c>
      <c r="L499" s="100">
        <f>IF(E499="Yes",MAX(0,Assumptions!$B$8-G499+1),0)</f>
        <v>8</v>
      </c>
      <c r="M499" s="82">
        <f t="shared" si="50"/>
        <v>51133.333333333336</v>
      </c>
      <c r="N499" s="100">
        <f>MIN(1,SUMIFS(Roster!$N$5:$N$1504,Roster!$B$5:$B$1504,$A499))</f>
        <v>1</v>
      </c>
      <c r="O499" s="100">
        <f>SUMIFS(Roster!$L$5:$L$1504,Roster!$B$5:$B$1504,$A499)</f>
        <v>8</v>
      </c>
      <c r="P499" s="83">
        <f>SUMIFS(Roster!$M$5:$M$1504,Roster!$B$5:$B$1504,$A499)*J499</f>
        <v>51913.333333333336</v>
      </c>
      <c r="Q499" s="83">
        <f>SUMIFS(Roster!$O$5:$O$1504,Roster!$B$5:$B$1504,$A499)*J499</f>
        <v>77870</v>
      </c>
      <c r="R499" s="82">
        <f t="shared" si="51"/>
        <v>77870</v>
      </c>
      <c r="S499" s="82">
        <f t="shared" si="52"/>
        <v>0</v>
      </c>
      <c r="T499" s="82">
        <f t="shared" si="53"/>
        <v>-780</v>
      </c>
      <c r="U499" s="82">
        <f t="shared" si="54"/>
        <v>0</v>
      </c>
      <c r="V499" s="83">
        <f>IF(COUNTIFS(Roster!$B$5:$B$1504,$A499,Roster!$G$5:$G$1504,"&gt;0")=0,0,SUMIFS(Roster!$H$5:$H$1504,Roster!$B$5:$B$1504,$A499,Roster!$G$5:$G$1504,_xlfn.MAXIFS(Roster!$G$5:$G$1504,Roster!$B$5:$B$1504,$A499)))</f>
        <v>0</v>
      </c>
      <c r="W499" s="101" t="str">
        <f t="shared" si="55"/>
        <v>Filled</v>
      </c>
    </row>
    <row r="500" spans="1:23" x14ac:dyDescent="0.25">
      <c r="A500" s="76" t="s">
        <v>939</v>
      </c>
      <c r="B500" s="76" t="s">
        <v>358</v>
      </c>
      <c r="C500" s="76" t="s">
        <v>905</v>
      </c>
      <c r="D500" s="97">
        <v>1</v>
      </c>
      <c r="E500" s="98" t="s">
        <v>325</v>
      </c>
      <c r="F500" s="78">
        <v>64000</v>
      </c>
      <c r="G500" s="97">
        <v>1</v>
      </c>
      <c r="H500" s="98" t="s">
        <v>399</v>
      </c>
      <c r="J500" s="99">
        <f>1+Assumptions!$B$11+INDEX(Assumptions!$B$12:$B$15,D500)*Assumptions!$B$16</f>
        <v>1.3</v>
      </c>
      <c r="K500" s="82">
        <f t="shared" si="49"/>
        <v>83200</v>
      </c>
      <c r="L500" s="100">
        <f>IF(E500="Yes",MAX(0,Assumptions!$B$8-G500+1),0)</f>
        <v>8</v>
      </c>
      <c r="M500" s="82">
        <f t="shared" si="50"/>
        <v>55466.666666666664</v>
      </c>
      <c r="N500" s="100">
        <f>MIN(1,SUMIFS(Roster!$N$5:$N$1504,Roster!$B$5:$B$1504,$A500))</f>
        <v>1</v>
      </c>
      <c r="O500" s="100">
        <f>SUMIFS(Roster!$L$5:$L$1504,Roster!$B$5:$B$1504,$A500)</f>
        <v>8</v>
      </c>
      <c r="P500" s="83">
        <f>SUMIFS(Roster!$M$5:$M$1504,Roster!$B$5:$B$1504,$A500)*J500</f>
        <v>54686.666666666664</v>
      </c>
      <c r="Q500" s="83">
        <f>SUMIFS(Roster!$O$5:$O$1504,Roster!$B$5:$B$1504,$A500)*J500</f>
        <v>82030</v>
      </c>
      <c r="R500" s="82">
        <f t="shared" si="51"/>
        <v>82030</v>
      </c>
      <c r="S500" s="82">
        <f t="shared" si="52"/>
        <v>0</v>
      </c>
      <c r="T500" s="82">
        <f t="shared" si="53"/>
        <v>780</v>
      </c>
      <c r="U500" s="82">
        <f t="shared" si="54"/>
        <v>0</v>
      </c>
      <c r="V500" s="83">
        <f>IF(COUNTIFS(Roster!$B$5:$B$1504,$A500,Roster!$G$5:$G$1504,"&gt;0")=0,0,SUMIFS(Roster!$H$5:$H$1504,Roster!$B$5:$B$1504,$A500,Roster!$G$5:$G$1504,_xlfn.MAXIFS(Roster!$G$5:$G$1504,Roster!$B$5:$B$1504,$A500)))</f>
        <v>0</v>
      </c>
      <c r="W500" s="101" t="str">
        <f t="shared" si="55"/>
        <v>Filled</v>
      </c>
    </row>
    <row r="501" spans="1:23" x14ac:dyDescent="0.25">
      <c r="A501" s="76" t="s">
        <v>940</v>
      </c>
      <c r="B501" s="76" t="s">
        <v>358</v>
      </c>
      <c r="C501" s="76" t="s">
        <v>909</v>
      </c>
      <c r="D501" s="97">
        <v>3</v>
      </c>
      <c r="E501" s="98" t="s">
        <v>325</v>
      </c>
      <c r="F501" s="78">
        <v>132000</v>
      </c>
      <c r="G501" s="97">
        <v>1</v>
      </c>
      <c r="H501" s="98" t="s">
        <v>399</v>
      </c>
      <c r="J501" s="99">
        <f>1+Assumptions!$B$11+INDEX(Assumptions!$B$12:$B$15,D501)*Assumptions!$B$16</f>
        <v>1.4</v>
      </c>
      <c r="K501" s="82">
        <f t="shared" si="49"/>
        <v>184800</v>
      </c>
      <c r="L501" s="100">
        <f>IF(E501="Yes",MAX(0,Assumptions!$B$8-G501+1),0)</f>
        <v>8</v>
      </c>
      <c r="M501" s="82">
        <f t="shared" si="50"/>
        <v>123200</v>
      </c>
      <c r="N501" s="100">
        <f>MIN(1,SUMIFS(Roster!$N$5:$N$1504,Roster!$B$5:$B$1504,$A501))</f>
        <v>1</v>
      </c>
      <c r="O501" s="100">
        <f>SUMIFS(Roster!$L$5:$L$1504,Roster!$B$5:$B$1504,$A501)</f>
        <v>8</v>
      </c>
      <c r="P501" s="83">
        <f>SUMIFS(Roster!$M$5:$M$1504,Roster!$B$5:$B$1504,$A501)*J501</f>
        <v>125066.66666666666</v>
      </c>
      <c r="Q501" s="83">
        <f>SUMIFS(Roster!$O$5:$O$1504,Roster!$B$5:$B$1504,$A501)*J501</f>
        <v>187600</v>
      </c>
      <c r="R501" s="82">
        <f t="shared" si="51"/>
        <v>187600</v>
      </c>
      <c r="S501" s="82">
        <f t="shared" si="52"/>
        <v>0</v>
      </c>
      <c r="T501" s="82">
        <f t="shared" si="53"/>
        <v>-1866.666666666657</v>
      </c>
      <c r="U501" s="82">
        <f t="shared" si="54"/>
        <v>0</v>
      </c>
      <c r="V501" s="83">
        <f>IF(COUNTIFS(Roster!$B$5:$B$1504,$A501,Roster!$G$5:$G$1504,"&gt;0")=0,0,SUMIFS(Roster!$H$5:$H$1504,Roster!$B$5:$B$1504,$A501,Roster!$G$5:$G$1504,_xlfn.MAXIFS(Roster!$G$5:$G$1504,Roster!$B$5:$B$1504,$A501)))</f>
        <v>0</v>
      </c>
      <c r="W501" s="101" t="str">
        <f t="shared" si="55"/>
        <v>Filled</v>
      </c>
    </row>
    <row r="502" spans="1:23" x14ac:dyDescent="0.25">
      <c r="A502" s="76" t="s">
        <v>941</v>
      </c>
      <c r="B502" s="76" t="s">
        <v>358</v>
      </c>
      <c r="C502" s="76" t="s">
        <v>905</v>
      </c>
      <c r="D502" s="97">
        <v>1</v>
      </c>
      <c r="E502" s="98" t="s">
        <v>325</v>
      </c>
      <c r="F502" s="78">
        <v>64000</v>
      </c>
      <c r="G502" s="97">
        <v>1</v>
      </c>
      <c r="H502" s="98" t="s">
        <v>399</v>
      </c>
      <c r="J502" s="99">
        <f>1+Assumptions!$B$11+INDEX(Assumptions!$B$12:$B$15,D502)*Assumptions!$B$16</f>
        <v>1.3</v>
      </c>
      <c r="K502" s="82">
        <f t="shared" si="49"/>
        <v>83200</v>
      </c>
      <c r="L502" s="100">
        <f>IF(E502="Yes",MAX(0,Assumptions!$B$8-G502+1),0)</f>
        <v>8</v>
      </c>
      <c r="M502" s="82">
        <f t="shared" si="50"/>
        <v>55466.666666666664</v>
      </c>
      <c r="N502" s="100">
        <f>MIN(1,SUMIFS(Roster!$N$5:$N$1504,Roster!$B$5:$B$1504,$A502))</f>
        <v>1</v>
      </c>
      <c r="O502" s="100">
        <f>SUMIFS(Roster!$L$5:$L$1504,Roster!$B$5:$B$1504,$A502)</f>
        <v>8</v>
      </c>
      <c r="P502" s="83">
        <f>SUMIFS(Roster!$M$5:$M$1504,Roster!$B$5:$B$1504,$A502)*J502</f>
        <v>55466.666666666664</v>
      </c>
      <c r="Q502" s="83">
        <f>SUMIFS(Roster!$O$5:$O$1504,Roster!$B$5:$B$1504,$A502)*J502</f>
        <v>83200</v>
      </c>
      <c r="R502" s="82">
        <f t="shared" si="51"/>
        <v>83200</v>
      </c>
      <c r="S502" s="82">
        <f t="shared" si="52"/>
        <v>0</v>
      </c>
      <c r="T502" s="82">
        <f t="shared" si="53"/>
        <v>0</v>
      </c>
      <c r="U502" s="82">
        <f t="shared" si="54"/>
        <v>0</v>
      </c>
      <c r="V502" s="83">
        <f>IF(COUNTIFS(Roster!$B$5:$B$1504,$A502,Roster!$G$5:$G$1504,"&gt;0")=0,0,SUMIFS(Roster!$H$5:$H$1504,Roster!$B$5:$B$1504,$A502,Roster!$G$5:$G$1504,_xlfn.MAXIFS(Roster!$G$5:$G$1504,Roster!$B$5:$B$1504,$A502)))</f>
        <v>0</v>
      </c>
      <c r="W502" s="101" t="str">
        <f t="shared" si="55"/>
        <v>Filled</v>
      </c>
    </row>
    <row r="503" spans="1:23" x14ac:dyDescent="0.25">
      <c r="A503" s="76" t="s">
        <v>942</v>
      </c>
      <c r="B503" s="76" t="s">
        <v>358</v>
      </c>
      <c r="C503" s="76" t="s">
        <v>905</v>
      </c>
      <c r="D503" s="97">
        <v>1</v>
      </c>
      <c r="E503" s="98" t="s">
        <v>325</v>
      </c>
      <c r="F503" s="78">
        <v>56000</v>
      </c>
      <c r="G503" s="97">
        <v>1</v>
      </c>
      <c r="H503" s="98" t="s">
        <v>399</v>
      </c>
      <c r="J503" s="99">
        <f>1+Assumptions!$B$11+INDEX(Assumptions!$B$12:$B$15,D503)*Assumptions!$B$16</f>
        <v>1.3</v>
      </c>
      <c r="K503" s="82">
        <f t="shared" si="49"/>
        <v>72800</v>
      </c>
      <c r="L503" s="100">
        <f>IF(E503="Yes",MAX(0,Assumptions!$B$8-G503+1),0)</f>
        <v>8</v>
      </c>
      <c r="M503" s="82">
        <f t="shared" si="50"/>
        <v>48533.333333333336</v>
      </c>
      <c r="N503" s="100">
        <f>MIN(1,SUMIFS(Roster!$N$5:$N$1504,Roster!$B$5:$B$1504,$A503))</f>
        <v>1</v>
      </c>
      <c r="O503" s="100">
        <f>SUMIFS(Roster!$L$5:$L$1504,Roster!$B$5:$B$1504,$A503)</f>
        <v>8</v>
      </c>
      <c r="P503" s="83">
        <f>SUMIFS(Roster!$M$5:$M$1504,Roster!$B$5:$B$1504,$A503)*J503</f>
        <v>48880</v>
      </c>
      <c r="Q503" s="83">
        <f>SUMIFS(Roster!$O$5:$O$1504,Roster!$B$5:$B$1504,$A503)*J503</f>
        <v>73320</v>
      </c>
      <c r="R503" s="82">
        <f t="shared" si="51"/>
        <v>73320</v>
      </c>
      <c r="S503" s="82">
        <f t="shared" si="52"/>
        <v>0</v>
      </c>
      <c r="T503" s="82">
        <f t="shared" si="53"/>
        <v>-346.66666666666424</v>
      </c>
      <c r="U503" s="82">
        <f t="shared" si="54"/>
        <v>0</v>
      </c>
      <c r="V503" s="83">
        <f>IF(COUNTIFS(Roster!$B$5:$B$1504,$A503,Roster!$G$5:$G$1504,"&gt;0")=0,0,SUMIFS(Roster!$H$5:$H$1504,Roster!$B$5:$B$1504,$A503,Roster!$G$5:$G$1504,_xlfn.MAXIFS(Roster!$G$5:$G$1504,Roster!$B$5:$B$1504,$A503)))</f>
        <v>0</v>
      </c>
      <c r="W503" s="101" t="str">
        <f t="shared" si="55"/>
        <v>Filled</v>
      </c>
    </row>
    <row r="504" spans="1:23" x14ac:dyDescent="0.25">
      <c r="A504" s="76" t="s">
        <v>943</v>
      </c>
      <c r="B504" s="76" t="s">
        <v>358</v>
      </c>
      <c r="C504" s="76" t="s">
        <v>905</v>
      </c>
      <c r="D504" s="97">
        <v>1</v>
      </c>
      <c r="E504" s="98" t="s">
        <v>325</v>
      </c>
      <c r="F504" s="78">
        <v>52500</v>
      </c>
      <c r="G504" s="97">
        <v>1</v>
      </c>
      <c r="H504" s="98" t="s">
        <v>399</v>
      </c>
      <c r="J504" s="99">
        <f>1+Assumptions!$B$11+INDEX(Assumptions!$B$12:$B$15,D504)*Assumptions!$B$16</f>
        <v>1.3</v>
      </c>
      <c r="K504" s="82">
        <f t="shared" si="49"/>
        <v>68250</v>
      </c>
      <c r="L504" s="100">
        <f>IF(E504="Yes",MAX(0,Assumptions!$B$8-G504+1),0)</f>
        <v>8</v>
      </c>
      <c r="M504" s="82">
        <f t="shared" si="50"/>
        <v>45500</v>
      </c>
      <c r="N504" s="100">
        <f>MIN(1,SUMIFS(Roster!$N$5:$N$1504,Roster!$B$5:$B$1504,$A504))</f>
        <v>1</v>
      </c>
      <c r="O504" s="100">
        <f>SUMIFS(Roster!$L$5:$L$1504,Roster!$B$5:$B$1504,$A504)</f>
        <v>8</v>
      </c>
      <c r="P504" s="83">
        <f>SUMIFS(Roster!$M$5:$M$1504,Roster!$B$5:$B$1504,$A504)*J504</f>
        <v>45413.333333333336</v>
      </c>
      <c r="Q504" s="83">
        <f>SUMIFS(Roster!$O$5:$O$1504,Roster!$B$5:$B$1504,$A504)*J504</f>
        <v>68120</v>
      </c>
      <c r="R504" s="82">
        <f t="shared" si="51"/>
        <v>68120</v>
      </c>
      <c r="S504" s="82">
        <f t="shared" si="52"/>
        <v>0</v>
      </c>
      <c r="T504" s="82">
        <f t="shared" si="53"/>
        <v>86.666666666664241</v>
      </c>
      <c r="U504" s="82">
        <f t="shared" si="54"/>
        <v>0</v>
      </c>
      <c r="V504" s="83">
        <f>IF(COUNTIFS(Roster!$B$5:$B$1504,$A504,Roster!$G$5:$G$1504,"&gt;0")=0,0,SUMIFS(Roster!$H$5:$H$1504,Roster!$B$5:$B$1504,$A504,Roster!$G$5:$G$1504,_xlfn.MAXIFS(Roster!$G$5:$G$1504,Roster!$B$5:$B$1504,$A504)))</f>
        <v>0</v>
      </c>
      <c r="W504" s="101" t="str">
        <f t="shared" si="55"/>
        <v>Filled</v>
      </c>
    </row>
    <row r="505" spans="1:23" x14ac:dyDescent="0.25">
      <c r="A505" s="76" t="s">
        <v>944</v>
      </c>
      <c r="B505" s="76" t="s">
        <v>358</v>
      </c>
      <c r="C505" s="76" t="s">
        <v>905</v>
      </c>
      <c r="D505" s="97">
        <v>1</v>
      </c>
      <c r="E505" s="98" t="s">
        <v>325</v>
      </c>
      <c r="F505" s="78">
        <v>69500</v>
      </c>
      <c r="G505" s="97">
        <v>1</v>
      </c>
      <c r="H505" s="98" t="s">
        <v>399</v>
      </c>
      <c r="J505" s="99">
        <f>1+Assumptions!$B$11+INDEX(Assumptions!$B$12:$B$15,D505)*Assumptions!$B$16</f>
        <v>1.3</v>
      </c>
      <c r="K505" s="82">
        <f t="shared" si="49"/>
        <v>90350</v>
      </c>
      <c r="L505" s="100">
        <f>IF(E505="Yes",MAX(0,Assumptions!$B$8-G505+1),0)</f>
        <v>8</v>
      </c>
      <c r="M505" s="82">
        <f t="shared" si="50"/>
        <v>60233.333333333336</v>
      </c>
      <c r="N505" s="100">
        <f>MIN(1,SUMIFS(Roster!$N$5:$N$1504,Roster!$B$5:$B$1504,$A505))</f>
        <v>1</v>
      </c>
      <c r="O505" s="100">
        <f>SUMIFS(Roster!$L$5:$L$1504,Roster!$B$5:$B$1504,$A505)</f>
        <v>8</v>
      </c>
      <c r="P505" s="83">
        <f>SUMIFS(Roster!$M$5:$M$1504,Roster!$B$5:$B$1504,$A505)*J505</f>
        <v>59366.666666666664</v>
      </c>
      <c r="Q505" s="83">
        <f>SUMIFS(Roster!$O$5:$O$1504,Roster!$B$5:$B$1504,$A505)*J505</f>
        <v>89050</v>
      </c>
      <c r="R505" s="82">
        <f t="shared" si="51"/>
        <v>89050</v>
      </c>
      <c r="S505" s="82">
        <f t="shared" si="52"/>
        <v>0</v>
      </c>
      <c r="T505" s="82">
        <f t="shared" si="53"/>
        <v>866.66666666667152</v>
      </c>
      <c r="U505" s="82">
        <f t="shared" si="54"/>
        <v>0</v>
      </c>
      <c r="V505" s="83">
        <f>IF(COUNTIFS(Roster!$B$5:$B$1504,$A505,Roster!$G$5:$G$1504,"&gt;0")=0,0,SUMIFS(Roster!$H$5:$H$1504,Roster!$B$5:$B$1504,$A505,Roster!$G$5:$G$1504,_xlfn.MAXIFS(Roster!$G$5:$G$1504,Roster!$B$5:$B$1504,$A505)))</f>
        <v>0</v>
      </c>
      <c r="W505" s="101" t="str">
        <f t="shared" si="55"/>
        <v>Filled</v>
      </c>
    </row>
    <row r="506" spans="1:23" x14ac:dyDescent="0.25">
      <c r="A506" s="76" t="s">
        <v>945</v>
      </c>
      <c r="B506" s="76" t="s">
        <v>358</v>
      </c>
      <c r="C506" s="76" t="s">
        <v>905</v>
      </c>
      <c r="D506" s="97">
        <v>1</v>
      </c>
      <c r="E506" s="98" t="s">
        <v>325</v>
      </c>
      <c r="F506" s="78">
        <v>66500</v>
      </c>
      <c r="G506" s="97">
        <v>1</v>
      </c>
      <c r="H506" s="98" t="s">
        <v>399</v>
      </c>
      <c r="J506" s="99">
        <f>1+Assumptions!$B$11+INDEX(Assumptions!$B$12:$B$15,D506)*Assumptions!$B$16</f>
        <v>1.3</v>
      </c>
      <c r="K506" s="82">
        <f t="shared" si="49"/>
        <v>86450</v>
      </c>
      <c r="L506" s="100">
        <f>IF(E506="Yes",MAX(0,Assumptions!$B$8-G506+1),0)</f>
        <v>8</v>
      </c>
      <c r="M506" s="82">
        <f t="shared" si="50"/>
        <v>57633.333333333336</v>
      </c>
      <c r="N506" s="100">
        <f>MIN(1,SUMIFS(Roster!$N$5:$N$1504,Roster!$B$5:$B$1504,$A506))</f>
        <v>1</v>
      </c>
      <c r="O506" s="100">
        <f>SUMIFS(Roster!$L$5:$L$1504,Roster!$B$5:$B$1504,$A506)</f>
        <v>8</v>
      </c>
      <c r="P506" s="83">
        <f>SUMIFS(Roster!$M$5:$M$1504,Roster!$B$5:$B$1504,$A506)*J506</f>
        <v>58153.333333333336</v>
      </c>
      <c r="Q506" s="83">
        <f>SUMIFS(Roster!$O$5:$O$1504,Roster!$B$5:$B$1504,$A506)*J506</f>
        <v>87230</v>
      </c>
      <c r="R506" s="82">
        <f t="shared" si="51"/>
        <v>87230</v>
      </c>
      <c r="S506" s="82">
        <f t="shared" si="52"/>
        <v>0</v>
      </c>
      <c r="T506" s="82">
        <f t="shared" si="53"/>
        <v>-520</v>
      </c>
      <c r="U506" s="82">
        <f t="shared" si="54"/>
        <v>0</v>
      </c>
      <c r="V506" s="83">
        <f>IF(COUNTIFS(Roster!$B$5:$B$1504,$A506,Roster!$G$5:$G$1504,"&gt;0")=0,0,SUMIFS(Roster!$H$5:$H$1504,Roster!$B$5:$B$1504,$A506,Roster!$G$5:$G$1504,_xlfn.MAXIFS(Roster!$G$5:$G$1504,Roster!$B$5:$B$1504,$A506)))</f>
        <v>0</v>
      </c>
      <c r="W506" s="101" t="str">
        <f t="shared" si="55"/>
        <v>Filled</v>
      </c>
    </row>
    <row r="507" spans="1:23" x14ac:dyDescent="0.25">
      <c r="A507" s="76" t="s">
        <v>946</v>
      </c>
      <c r="B507" s="76" t="s">
        <v>358</v>
      </c>
      <c r="C507" s="76" t="s">
        <v>905</v>
      </c>
      <c r="D507" s="97">
        <v>1</v>
      </c>
      <c r="E507" s="98" t="s">
        <v>325</v>
      </c>
      <c r="F507" s="78">
        <v>65500</v>
      </c>
      <c r="G507" s="97">
        <v>1</v>
      </c>
      <c r="H507" s="98" t="s">
        <v>399</v>
      </c>
      <c r="J507" s="99">
        <f>1+Assumptions!$B$11+INDEX(Assumptions!$B$12:$B$15,D507)*Assumptions!$B$16</f>
        <v>1.3</v>
      </c>
      <c r="K507" s="82">
        <f t="shared" si="49"/>
        <v>85150</v>
      </c>
      <c r="L507" s="100">
        <f>IF(E507="Yes",MAX(0,Assumptions!$B$8-G507+1),0)</f>
        <v>8</v>
      </c>
      <c r="M507" s="82">
        <f t="shared" si="50"/>
        <v>56766.666666666664</v>
      </c>
      <c r="N507" s="100">
        <f>MIN(1,SUMIFS(Roster!$N$5:$N$1504,Roster!$B$5:$B$1504,$A507))</f>
        <v>1</v>
      </c>
      <c r="O507" s="100">
        <f>SUMIFS(Roster!$L$5:$L$1504,Roster!$B$5:$B$1504,$A507)</f>
        <v>8</v>
      </c>
      <c r="P507" s="83">
        <f>SUMIFS(Roster!$M$5:$M$1504,Roster!$B$5:$B$1504,$A507)*J507</f>
        <v>56333.333333333336</v>
      </c>
      <c r="Q507" s="83">
        <f>SUMIFS(Roster!$O$5:$O$1504,Roster!$B$5:$B$1504,$A507)*J507</f>
        <v>84500</v>
      </c>
      <c r="R507" s="82">
        <f t="shared" si="51"/>
        <v>84500</v>
      </c>
      <c r="S507" s="82">
        <f t="shared" si="52"/>
        <v>0</v>
      </c>
      <c r="T507" s="82">
        <f t="shared" si="53"/>
        <v>433.33333333332848</v>
      </c>
      <c r="U507" s="82">
        <f t="shared" si="54"/>
        <v>0</v>
      </c>
      <c r="V507" s="83">
        <f>IF(COUNTIFS(Roster!$B$5:$B$1504,$A507,Roster!$G$5:$G$1504,"&gt;0")=0,0,SUMIFS(Roster!$H$5:$H$1504,Roster!$B$5:$B$1504,$A507,Roster!$G$5:$G$1504,_xlfn.MAXIFS(Roster!$G$5:$G$1504,Roster!$B$5:$B$1504,$A507)))</f>
        <v>0</v>
      </c>
      <c r="W507" s="101" t="str">
        <f t="shared" si="55"/>
        <v>Filled</v>
      </c>
    </row>
    <row r="508" spans="1:23" x14ac:dyDescent="0.25">
      <c r="A508" s="76" t="s">
        <v>947</v>
      </c>
      <c r="B508" s="76" t="s">
        <v>358</v>
      </c>
      <c r="C508" s="76" t="s">
        <v>905</v>
      </c>
      <c r="D508" s="97">
        <v>1</v>
      </c>
      <c r="E508" s="98" t="s">
        <v>325</v>
      </c>
      <c r="F508" s="78">
        <v>60500</v>
      </c>
      <c r="G508" s="97">
        <v>1</v>
      </c>
      <c r="H508" s="98" t="s">
        <v>399</v>
      </c>
      <c r="J508" s="99">
        <f>1+Assumptions!$B$11+INDEX(Assumptions!$B$12:$B$15,D508)*Assumptions!$B$16</f>
        <v>1.3</v>
      </c>
      <c r="K508" s="82">
        <f t="shared" si="49"/>
        <v>78650</v>
      </c>
      <c r="L508" s="100">
        <f>IF(E508="Yes",MAX(0,Assumptions!$B$8-G508+1),0)</f>
        <v>8</v>
      </c>
      <c r="M508" s="82">
        <f t="shared" si="50"/>
        <v>52433.333333333336</v>
      </c>
      <c r="N508" s="100">
        <f>MIN(1,SUMIFS(Roster!$N$5:$N$1504,Roster!$B$5:$B$1504,$A508))</f>
        <v>1</v>
      </c>
      <c r="O508" s="100">
        <f>SUMIFS(Roster!$L$5:$L$1504,Roster!$B$5:$B$1504,$A508)</f>
        <v>8</v>
      </c>
      <c r="P508" s="83">
        <f>SUMIFS(Roster!$M$5:$M$1504,Roster!$B$5:$B$1504,$A508)*J508</f>
        <v>52520</v>
      </c>
      <c r="Q508" s="83">
        <f>SUMIFS(Roster!$O$5:$O$1504,Roster!$B$5:$B$1504,$A508)*J508</f>
        <v>78780</v>
      </c>
      <c r="R508" s="82">
        <f t="shared" si="51"/>
        <v>78780</v>
      </c>
      <c r="S508" s="82">
        <f t="shared" si="52"/>
        <v>0</v>
      </c>
      <c r="T508" s="82">
        <f t="shared" si="53"/>
        <v>-86.666666666664241</v>
      </c>
      <c r="U508" s="82">
        <f t="shared" si="54"/>
        <v>0</v>
      </c>
      <c r="V508" s="83">
        <f>IF(COUNTIFS(Roster!$B$5:$B$1504,$A508,Roster!$G$5:$G$1504,"&gt;0")=0,0,SUMIFS(Roster!$H$5:$H$1504,Roster!$B$5:$B$1504,$A508,Roster!$G$5:$G$1504,_xlfn.MAXIFS(Roster!$G$5:$G$1504,Roster!$B$5:$B$1504,$A508)))</f>
        <v>0</v>
      </c>
      <c r="W508" s="101" t="str">
        <f t="shared" si="55"/>
        <v>Filled</v>
      </c>
    </row>
    <row r="509" spans="1:23" x14ac:dyDescent="0.25">
      <c r="A509" s="76" t="s">
        <v>948</v>
      </c>
      <c r="B509" s="76" t="s">
        <v>358</v>
      </c>
      <c r="C509" s="76" t="s">
        <v>909</v>
      </c>
      <c r="D509" s="97">
        <v>3</v>
      </c>
      <c r="E509" s="98" t="s">
        <v>325</v>
      </c>
      <c r="F509" s="78">
        <v>114000</v>
      </c>
      <c r="G509" s="97">
        <v>1</v>
      </c>
      <c r="H509" s="98" t="s">
        <v>399</v>
      </c>
      <c r="J509" s="99">
        <f>1+Assumptions!$B$11+INDEX(Assumptions!$B$12:$B$15,D509)*Assumptions!$B$16</f>
        <v>1.4</v>
      </c>
      <c r="K509" s="82">
        <f t="shared" si="49"/>
        <v>159600</v>
      </c>
      <c r="L509" s="100">
        <f>IF(E509="Yes",MAX(0,Assumptions!$B$8-G509+1),0)</f>
        <v>8</v>
      </c>
      <c r="M509" s="82">
        <f t="shared" si="50"/>
        <v>106400</v>
      </c>
      <c r="N509" s="100">
        <f>MIN(1,SUMIFS(Roster!$N$5:$N$1504,Roster!$B$5:$B$1504,$A509))</f>
        <v>0</v>
      </c>
      <c r="O509" s="100">
        <f>SUMIFS(Roster!$L$5:$L$1504,Roster!$B$5:$B$1504,$A509)</f>
        <v>7</v>
      </c>
      <c r="P509" s="83">
        <f>SUMIFS(Roster!$M$5:$M$1504,Roster!$B$5:$B$1504,$A509)*J509</f>
        <v>93018.333333333328</v>
      </c>
      <c r="Q509" s="83">
        <f>SUMIFS(Roster!$O$5:$O$1504,Roster!$B$5:$B$1504,$A509)*J509</f>
        <v>0</v>
      </c>
      <c r="R509" s="82">
        <f t="shared" si="51"/>
        <v>159600</v>
      </c>
      <c r="S509" s="82">
        <f t="shared" si="52"/>
        <v>13300</v>
      </c>
      <c r="T509" s="82">
        <f t="shared" si="53"/>
        <v>81.666666666671517</v>
      </c>
      <c r="U509" s="82">
        <f t="shared" si="54"/>
        <v>0</v>
      </c>
      <c r="V509" s="83">
        <f>IF(COUNTIFS(Roster!$B$5:$B$1504,$A509,Roster!$G$5:$G$1504,"&gt;0")=0,0,SUMIFS(Roster!$H$5:$H$1504,Roster!$B$5:$B$1504,$A509,Roster!$G$5:$G$1504,_xlfn.MAXIFS(Roster!$G$5:$G$1504,Roster!$B$5:$B$1504,$A509)))</f>
        <v>113900</v>
      </c>
      <c r="W509" s="101" t="str">
        <f t="shared" si="55"/>
        <v>Open: to fill</v>
      </c>
    </row>
    <row r="510" spans="1:23" x14ac:dyDescent="0.25">
      <c r="A510" s="76" t="s">
        <v>949</v>
      </c>
      <c r="B510" s="76" t="s">
        <v>358</v>
      </c>
      <c r="C510" s="76" t="s">
        <v>907</v>
      </c>
      <c r="D510" s="97">
        <v>2</v>
      </c>
      <c r="E510" s="98" t="s">
        <v>325</v>
      </c>
      <c r="F510" s="78">
        <v>96500</v>
      </c>
      <c r="G510" s="97">
        <v>1</v>
      </c>
      <c r="H510" s="98" t="s">
        <v>399</v>
      </c>
      <c r="J510" s="99">
        <f>1+Assumptions!$B$11+INDEX(Assumptions!$B$12:$B$15,D510)*Assumptions!$B$16</f>
        <v>1.35</v>
      </c>
      <c r="K510" s="82">
        <f t="shared" si="49"/>
        <v>130275.00000000001</v>
      </c>
      <c r="L510" s="100">
        <f>IF(E510="Yes",MAX(0,Assumptions!$B$8-G510+1),0)</f>
        <v>8</v>
      </c>
      <c r="M510" s="82">
        <f t="shared" si="50"/>
        <v>86850.000000000015</v>
      </c>
      <c r="N510" s="100">
        <f>MIN(1,SUMIFS(Roster!$N$5:$N$1504,Roster!$B$5:$B$1504,$A510))</f>
        <v>1</v>
      </c>
      <c r="O510" s="100">
        <f>SUMIFS(Roster!$L$5:$L$1504,Roster!$B$5:$B$1504,$A510)</f>
        <v>8</v>
      </c>
      <c r="P510" s="83">
        <f>SUMIFS(Roster!$M$5:$M$1504,Roster!$B$5:$B$1504,$A510)*J510</f>
        <v>85680</v>
      </c>
      <c r="Q510" s="83">
        <f>SUMIFS(Roster!$O$5:$O$1504,Roster!$B$5:$B$1504,$A510)*J510</f>
        <v>128520.00000000001</v>
      </c>
      <c r="R510" s="82">
        <f t="shared" si="51"/>
        <v>128520.00000000001</v>
      </c>
      <c r="S510" s="82">
        <f t="shared" si="52"/>
        <v>0</v>
      </c>
      <c r="T510" s="82">
        <f t="shared" si="53"/>
        <v>1170.0000000000146</v>
      </c>
      <c r="U510" s="82">
        <f t="shared" si="54"/>
        <v>0</v>
      </c>
      <c r="V510" s="83">
        <f>IF(COUNTIFS(Roster!$B$5:$B$1504,$A510,Roster!$G$5:$G$1504,"&gt;0")=0,0,SUMIFS(Roster!$H$5:$H$1504,Roster!$B$5:$B$1504,$A510,Roster!$G$5:$G$1504,_xlfn.MAXIFS(Roster!$G$5:$G$1504,Roster!$B$5:$B$1504,$A510)))</f>
        <v>0</v>
      </c>
      <c r="W510" s="101" t="str">
        <f t="shared" si="55"/>
        <v>Filled</v>
      </c>
    </row>
    <row r="511" spans="1:23" x14ac:dyDescent="0.25">
      <c r="A511" s="76" t="s">
        <v>950</v>
      </c>
      <c r="B511" s="76" t="s">
        <v>358</v>
      </c>
      <c r="C511" s="76" t="s">
        <v>905</v>
      </c>
      <c r="D511" s="97">
        <v>1</v>
      </c>
      <c r="E511" s="98" t="s">
        <v>325</v>
      </c>
      <c r="F511" s="78">
        <v>68000</v>
      </c>
      <c r="G511" s="97">
        <v>1</v>
      </c>
      <c r="H511" s="98" t="s">
        <v>399</v>
      </c>
      <c r="J511" s="99">
        <f>1+Assumptions!$B$11+INDEX(Assumptions!$B$12:$B$15,D511)*Assumptions!$B$16</f>
        <v>1.3</v>
      </c>
      <c r="K511" s="82">
        <f t="shared" si="49"/>
        <v>88400</v>
      </c>
      <c r="L511" s="100">
        <f>IF(E511="Yes",MAX(0,Assumptions!$B$8-G511+1),0)</f>
        <v>8</v>
      </c>
      <c r="M511" s="82">
        <f t="shared" si="50"/>
        <v>58933.333333333336</v>
      </c>
      <c r="N511" s="100">
        <f>MIN(1,SUMIFS(Roster!$N$5:$N$1504,Roster!$B$5:$B$1504,$A511))</f>
        <v>1</v>
      </c>
      <c r="O511" s="100">
        <f>SUMIFS(Roster!$L$5:$L$1504,Roster!$B$5:$B$1504,$A511)</f>
        <v>8</v>
      </c>
      <c r="P511" s="83">
        <f>SUMIFS(Roster!$M$5:$M$1504,Roster!$B$5:$B$1504,$A511)*J511</f>
        <v>59540</v>
      </c>
      <c r="Q511" s="83">
        <f>SUMIFS(Roster!$O$5:$O$1504,Roster!$B$5:$B$1504,$A511)*J511</f>
        <v>89310</v>
      </c>
      <c r="R511" s="82">
        <f t="shared" si="51"/>
        <v>89310</v>
      </c>
      <c r="S511" s="82">
        <f t="shared" si="52"/>
        <v>0</v>
      </c>
      <c r="T511" s="82">
        <f t="shared" si="53"/>
        <v>-606.66666666666424</v>
      </c>
      <c r="U511" s="82">
        <f t="shared" si="54"/>
        <v>0</v>
      </c>
      <c r="V511" s="83">
        <f>IF(COUNTIFS(Roster!$B$5:$B$1504,$A511,Roster!$G$5:$G$1504,"&gt;0")=0,0,SUMIFS(Roster!$H$5:$H$1504,Roster!$B$5:$B$1504,$A511,Roster!$G$5:$G$1504,_xlfn.MAXIFS(Roster!$G$5:$G$1504,Roster!$B$5:$B$1504,$A511)))</f>
        <v>0</v>
      </c>
      <c r="W511" s="101" t="str">
        <f t="shared" si="55"/>
        <v>Filled</v>
      </c>
    </row>
    <row r="512" spans="1:23" x14ac:dyDescent="0.25">
      <c r="A512" s="76" t="s">
        <v>951</v>
      </c>
      <c r="B512" s="76" t="s">
        <v>358</v>
      </c>
      <c r="C512" s="76" t="s">
        <v>905</v>
      </c>
      <c r="D512" s="97">
        <v>1</v>
      </c>
      <c r="E512" s="98" t="s">
        <v>325</v>
      </c>
      <c r="F512" s="78">
        <v>53500</v>
      </c>
      <c r="G512" s="97">
        <v>1</v>
      </c>
      <c r="H512" s="98" t="s">
        <v>399</v>
      </c>
      <c r="J512" s="99">
        <f>1+Assumptions!$B$11+INDEX(Assumptions!$B$12:$B$15,D512)*Assumptions!$B$16</f>
        <v>1.3</v>
      </c>
      <c r="K512" s="82">
        <f t="shared" si="49"/>
        <v>69550</v>
      </c>
      <c r="L512" s="100">
        <f>IF(E512="Yes",MAX(0,Assumptions!$B$8-G512+1),0)</f>
        <v>8</v>
      </c>
      <c r="M512" s="82">
        <f t="shared" si="50"/>
        <v>46366.666666666664</v>
      </c>
      <c r="N512" s="100">
        <f>MIN(1,SUMIFS(Roster!$N$5:$N$1504,Roster!$B$5:$B$1504,$A512))</f>
        <v>1</v>
      </c>
      <c r="O512" s="100">
        <f>SUMIFS(Roster!$L$5:$L$1504,Roster!$B$5:$B$1504,$A512)</f>
        <v>8</v>
      </c>
      <c r="P512" s="83">
        <f>SUMIFS(Roster!$M$5:$M$1504,Roster!$B$5:$B$1504,$A512)*J512</f>
        <v>45673.333333333336</v>
      </c>
      <c r="Q512" s="83">
        <f>SUMIFS(Roster!$O$5:$O$1504,Roster!$B$5:$B$1504,$A512)*J512</f>
        <v>68510</v>
      </c>
      <c r="R512" s="82">
        <f t="shared" si="51"/>
        <v>68510</v>
      </c>
      <c r="S512" s="82">
        <f t="shared" si="52"/>
        <v>0</v>
      </c>
      <c r="T512" s="82">
        <f t="shared" si="53"/>
        <v>693.33333333332848</v>
      </c>
      <c r="U512" s="82">
        <f t="shared" si="54"/>
        <v>0</v>
      </c>
      <c r="V512" s="83">
        <f>IF(COUNTIFS(Roster!$B$5:$B$1504,$A512,Roster!$G$5:$G$1504,"&gt;0")=0,0,SUMIFS(Roster!$H$5:$H$1504,Roster!$B$5:$B$1504,$A512,Roster!$G$5:$G$1504,_xlfn.MAXIFS(Roster!$G$5:$G$1504,Roster!$B$5:$B$1504,$A512)))</f>
        <v>0</v>
      </c>
      <c r="W512" s="101" t="str">
        <f t="shared" si="55"/>
        <v>Filled</v>
      </c>
    </row>
    <row r="513" spans="1:23" x14ac:dyDescent="0.25">
      <c r="A513" s="76" t="s">
        <v>952</v>
      </c>
      <c r="B513" s="76" t="s">
        <v>358</v>
      </c>
      <c r="C513" s="76" t="s">
        <v>907</v>
      </c>
      <c r="D513" s="97">
        <v>2</v>
      </c>
      <c r="E513" s="98" t="s">
        <v>325</v>
      </c>
      <c r="F513" s="78">
        <v>91500</v>
      </c>
      <c r="G513" s="97">
        <v>1</v>
      </c>
      <c r="H513" s="98" t="s">
        <v>399</v>
      </c>
      <c r="J513" s="99">
        <f>1+Assumptions!$B$11+INDEX(Assumptions!$B$12:$B$15,D513)*Assumptions!$B$16</f>
        <v>1.35</v>
      </c>
      <c r="K513" s="82">
        <f t="shared" si="49"/>
        <v>123525.00000000001</v>
      </c>
      <c r="L513" s="100">
        <f>IF(E513="Yes",MAX(0,Assumptions!$B$8-G513+1),0)</f>
        <v>8</v>
      </c>
      <c r="M513" s="82">
        <f t="shared" si="50"/>
        <v>82350.000000000015</v>
      </c>
      <c r="N513" s="100">
        <f>MIN(1,SUMIFS(Roster!$N$5:$N$1504,Roster!$B$5:$B$1504,$A513))</f>
        <v>1</v>
      </c>
      <c r="O513" s="100">
        <f>SUMIFS(Roster!$L$5:$L$1504,Roster!$B$5:$B$1504,$A513)</f>
        <v>8</v>
      </c>
      <c r="P513" s="83">
        <f>SUMIFS(Roster!$M$5:$M$1504,Roster!$B$5:$B$1504,$A513)*J513</f>
        <v>83160</v>
      </c>
      <c r="Q513" s="83">
        <f>SUMIFS(Roster!$O$5:$O$1504,Roster!$B$5:$B$1504,$A513)*J513</f>
        <v>124740.00000000001</v>
      </c>
      <c r="R513" s="82">
        <f t="shared" si="51"/>
        <v>124740.00000000001</v>
      </c>
      <c r="S513" s="82">
        <f t="shared" si="52"/>
        <v>0</v>
      </c>
      <c r="T513" s="82">
        <f t="shared" si="53"/>
        <v>-809.99999999998545</v>
      </c>
      <c r="U513" s="82">
        <f t="shared" si="54"/>
        <v>0</v>
      </c>
      <c r="V513" s="83">
        <f>IF(COUNTIFS(Roster!$B$5:$B$1504,$A513,Roster!$G$5:$G$1504,"&gt;0")=0,0,SUMIFS(Roster!$H$5:$H$1504,Roster!$B$5:$B$1504,$A513,Roster!$G$5:$G$1504,_xlfn.MAXIFS(Roster!$G$5:$G$1504,Roster!$B$5:$B$1504,$A513)))</f>
        <v>0</v>
      </c>
      <c r="W513" s="101" t="str">
        <f t="shared" si="55"/>
        <v>Filled</v>
      </c>
    </row>
    <row r="514" spans="1:23" x14ac:dyDescent="0.25">
      <c r="A514" s="76" t="s">
        <v>953</v>
      </c>
      <c r="B514" s="76" t="s">
        <v>358</v>
      </c>
      <c r="C514" s="76" t="s">
        <v>907</v>
      </c>
      <c r="D514" s="97">
        <v>2</v>
      </c>
      <c r="E514" s="98" t="s">
        <v>325</v>
      </c>
      <c r="F514" s="78">
        <v>97000</v>
      </c>
      <c r="G514" s="97">
        <v>1</v>
      </c>
      <c r="H514" s="98" t="s">
        <v>399</v>
      </c>
      <c r="J514" s="99">
        <f>1+Assumptions!$B$11+INDEX(Assumptions!$B$12:$B$15,D514)*Assumptions!$B$16</f>
        <v>1.35</v>
      </c>
      <c r="K514" s="82">
        <f t="shared" si="49"/>
        <v>130950.00000000001</v>
      </c>
      <c r="L514" s="100">
        <f>IF(E514="Yes",MAX(0,Assumptions!$B$8-G514+1),0)</f>
        <v>8</v>
      </c>
      <c r="M514" s="82">
        <f t="shared" si="50"/>
        <v>87300.000000000015</v>
      </c>
      <c r="N514" s="100">
        <f>MIN(1,SUMIFS(Roster!$N$5:$N$1504,Roster!$B$5:$B$1504,$A514))</f>
        <v>1</v>
      </c>
      <c r="O514" s="100">
        <f>SUMIFS(Roster!$L$5:$L$1504,Roster!$B$5:$B$1504,$A514)</f>
        <v>8</v>
      </c>
      <c r="P514" s="83">
        <f>SUMIFS(Roster!$M$5:$M$1504,Roster!$B$5:$B$1504,$A514)*J514</f>
        <v>88290</v>
      </c>
      <c r="Q514" s="83">
        <f>SUMIFS(Roster!$O$5:$O$1504,Roster!$B$5:$B$1504,$A514)*J514</f>
        <v>132435</v>
      </c>
      <c r="R514" s="82">
        <f t="shared" si="51"/>
        <v>132435</v>
      </c>
      <c r="S514" s="82">
        <f t="shared" si="52"/>
        <v>0</v>
      </c>
      <c r="T514" s="82">
        <f t="shared" si="53"/>
        <v>-989.99999999998545</v>
      </c>
      <c r="U514" s="82">
        <f t="shared" si="54"/>
        <v>0</v>
      </c>
      <c r="V514" s="83">
        <f>IF(COUNTIFS(Roster!$B$5:$B$1504,$A514,Roster!$G$5:$G$1504,"&gt;0")=0,0,SUMIFS(Roster!$H$5:$H$1504,Roster!$B$5:$B$1504,$A514,Roster!$G$5:$G$1504,_xlfn.MAXIFS(Roster!$G$5:$G$1504,Roster!$B$5:$B$1504,$A514)))</f>
        <v>0</v>
      </c>
      <c r="W514" s="101" t="str">
        <f t="shared" si="55"/>
        <v>Filled</v>
      </c>
    </row>
    <row r="515" spans="1:23" x14ac:dyDescent="0.25">
      <c r="A515" s="76" t="s">
        <v>954</v>
      </c>
      <c r="B515" s="76" t="s">
        <v>358</v>
      </c>
      <c r="C515" s="76" t="s">
        <v>905</v>
      </c>
      <c r="D515" s="97">
        <v>1</v>
      </c>
      <c r="E515" s="98" t="s">
        <v>325</v>
      </c>
      <c r="F515" s="78">
        <v>70000</v>
      </c>
      <c r="G515" s="97">
        <v>1</v>
      </c>
      <c r="H515" s="98" t="s">
        <v>399</v>
      </c>
      <c r="J515" s="99">
        <f>1+Assumptions!$B$11+INDEX(Assumptions!$B$12:$B$15,D515)*Assumptions!$B$16</f>
        <v>1.3</v>
      </c>
      <c r="K515" s="82">
        <f t="shared" si="49"/>
        <v>91000</v>
      </c>
      <c r="L515" s="100">
        <f>IF(E515="Yes",MAX(0,Assumptions!$B$8-G515+1),0)</f>
        <v>8</v>
      </c>
      <c r="M515" s="82">
        <f t="shared" si="50"/>
        <v>60666.666666666664</v>
      </c>
      <c r="N515" s="100">
        <f>MIN(1,SUMIFS(Roster!$N$5:$N$1504,Roster!$B$5:$B$1504,$A515))</f>
        <v>1</v>
      </c>
      <c r="O515" s="100">
        <f>SUMIFS(Roster!$L$5:$L$1504,Roster!$B$5:$B$1504,$A515)</f>
        <v>8</v>
      </c>
      <c r="P515" s="83">
        <f>SUMIFS(Roster!$M$5:$M$1504,Roster!$B$5:$B$1504,$A515)*J515</f>
        <v>60753.333333333336</v>
      </c>
      <c r="Q515" s="83">
        <f>SUMIFS(Roster!$O$5:$O$1504,Roster!$B$5:$B$1504,$A515)*J515</f>
        <v>91130</v>
      </c>
      <c r="R515" s="82">
        <f t="shared" si="51"/>
        <v>91130</v>
      </c>
      <c r="S515" s="82">
        <f t="shared" si="52"/>
        <v>0</v>
      </c>
      <c r="T515" s="82">
        <f t="shared" si="53"/>
        <v>-86.666666666671517</v>
      </c>
      <c r="U515" s="82">
        <f t="shared" si="54"/>
        <v>0</v>
      </c>
      <c r="V515" s="83">
        <f>IF(COUNTIFS(Roster!$B$5:$B$1504,$A515,Roster!$G$5:$G$1504,"&gt;0")=0,0,SUMIFS(Roster!$H$5:$H$1504,Roster!$B$5:$B$1504,$A515,Roster!$G$5:$G$1504,_xlfn.MAXIFS(Roster!$G$5:$G$1504,Roster!$B$5:$B$1504,$A515)))</f>
        <v>0</v>
      </c>
      <c r="W515" s="101" t="str">
        <f t="shared" si="55"/>
        <v>Filled</v>
      </c>
    </row>
    <row r="516" spans="1:23" x14ac:dyDescent="0.25">
      <c r="A516" s="76" t="s">
        <v>955</v>
      </c>
      <c r="B516" s="76" t="s">
        <v>358</v>
      </c>
      <c r="C516" s="76" t="s">
        <v>907</v>
      </c>
      <c r="D516" s="97">
        <v>2</v>
      </c>
      <c r="E516" s="98" t="s">
        <v>325</v>
      </c>
      <c r="F516" s="78">
        <v>72500</v>
      </c>
      <c r="G516" s="97">
        <v>1</v>
      </c>
      <c r="H516" s="98" t="s">
        <v>399</v>
      </c>
      <c r="J516" s="99">
        <f>1+Assumptions!$B$11+INDEX(Assumptions!$B$12:$B$15,D516)*Assumptions!$B$16</f>
        <v>1.35</v>
      </c>
      <c r="K516" s="82">
        <f t="shared" si="49"/>
        <v>97875</v>
      </c>
      <c r="L516" s="100">
        <f>IF(E516="Yes",MAX(0,Assumptions!$B$8-G516+1),0)</f>
        <v>8</v>
      </c>
      <c r="M516" s="82">
        <f t="shared" si="50"/>
        <v>65250</v>
      </c>
      <c r="N516" s="100">
        <f>MIN(1,SUMIFS(Roster!$N$5:$N$1504,Roster!$B$5:$B$1504,$A516))</f>
        <v>1</v>
      </c>
      <c r="O516" s="100">
        <f>SUMIFS(Roster!$L$5:$L$1504,Roster!$B$5:$B$1504,$A516)</f>
        <v>6</v>
      </c>
      <c r="P516" s="83">
        <f>SUMIFS(Roster!$M$5:$M$1504,Roster!$B$5:$B$1504,$A516)*J516</f>
        <v>50287.5</v>
      </c>
      <c r="Q516" s="83">
        <f>SUMIFS(Roster!$O$5:$O$1504,Roster!$B$5:$B$1504,$A516)*J516</f>
        <v>104625</v>
      </c>
      <c r="R516" s="82">
        <f t="shared" si="51"/>
        <v>104625</v>
      </c>
      <c r="S516" s="82">
        <f t="shared" si="52"/>
        <v>16312.5</v>
      </c>
      <c r="T516" s="82">
        <f t="shared" si="53"/>
        <v>-1350</v>
      </c>
      <c r="U516" s="82">
        <f t="shared" si="54"/>
        <v>0</v>
      </c>
      <c r="V516" s="83">
        <f>IF(COUNTIFS(Roster!$B$5:$B$1504,$A516,Roster!$G$5:$G$1504,"&gt;0")=0,0,SUMIFS(Roster!$H$5:$H$1504,Roster!$B$5:$B$1504,$A516,Roster!$G$5:$G$1504,_xlfn.MAXIFS(Roster!$G$5:$G$1504,Roster!$B$5:$B$1504,$A516)))</f>
        <v>71500</v>
      </c>
      <c r="W516" s="101" t="str">
        <f t="shared" si="55"/>
        <v>Filled</v>
      </c>
    </row>
    <row r="517" spans="1:23" x14ac:dyDescent="0.25">
      <c r="A517" s="76" t="s">
        <v>956</v>
      </c>
      <c r="B517" s="76" t="s">
        <v>358</v>
      </c>
      <c r="C517" s="76" t="s">
        <v>905</v>
      </c>
      <c r="D517" s="97">
        <v>1</v>
      </c>
      <c r="E517" s="98" t="s">
        <v>325</v>
      </c>
      <c r="F517" s="78">
        <v>64500</v>
      </c>
      <c r="G517" s="97">
        <v>1</v>
      </c>
      <c r="H517" s="98" t="s">
        <v>399</v>
      </c>
      <c r="J517" s="99">
        <f>1+Assumptions!$B$11+INDEX(Assumptions!$B$12:$B$15,D517)*Assumptions!$B$16</f>
        <v>1.3</v>
      </c>
      <c r="K517" s="82">
        <f t="shared" ref="K517:K526" si="56">IF(E517="Yes",F517*J517,0)</f>
        <v>83850</v>
      </c>
      <c r="L517" s="100">
        <f>IF(E517="Yes",MAX(0,Assumptions!$B$8-G517+1),0)</f>
        <v>8</v>
      </c>
      <c r="M517" s="82">
        <f t="shared" ref="M517:M526" si="57">K517/12*L517</f>
        <v>55900</v>
      </c>
      <c r="N517" s="100">
        <f>MIN(1,SUMIFS(Roster!$N$5:$N$1504,Roster!$B$5:$B$1504,$A517))</f>
        <v>1</v>
      </c>
      <c r="O517" s="100">
        <f>SUMIFS(Roster!$L$5:$L$1504,Roster!$B$5:$B$1504,$A517)</f>
        <v>8</v>
      </c>
      <c r="P517" s="83">
        <f>SUMIFS(Roster!$M$5:$M$1504,Roster!$B$5:$B$1504,$A517)*J517</f>
        <v>55726.666666666664</v>
      </c>
      <c r="Q517" s="83">
        <f>SUMIFS(Roster!$O$5:$O$1504,Roster!$B$5:$B$1504,$A517)*J517</f>
        <v>83590</v>
      </c>
      <c r="R517" s="82">
        <f t="shared" ref="R517:R526" si="58">IF(N517=1,Q517,IF(AND(E517="Yes",H517="Fill"),K517,0))</f>
        <v>83590</v>
      </c>
      <c r="S517" s="82">
        <f t="shared" ref="S517:S526" si="59">(L517-O517)*K517/12</f>
        <v>0</v>
      </c>
      <c r="T517" s="82">
        <f t="shared" ref="T517:T526" si="60">IF(E517="Yes",O517*K517/12-P517,0)</f>
        <v>173.33333333333576</v>
      </c>
      <c r="U517" s="82">
        <f t="shared" ref="U517:U526" si="61">IF(E517="No",-P517,0)</f>
        <v>0</v>
      </c>
      <c r="V517" s="83">
        <f>IF(COUNTIFS(Roster!$B$5:$B$1504,$A517,Roster!$G$5:$G$1504,"&gt;0")=0,0,SUMIFS(Roster!$H$5:$H$1504,Roster!$B$5:$B$1504,$A517,Roster!$G$5:$G$1504,_xlfn.MAXIFS(Roster!$G$5:$G$1504,Roster!$B$5:$B$1504,$A517)))</f>
        <v>0</v>
      </c>
      <c r="W517" s="101" t="str">
        <f t="shared" ref="W517:W526" si="62">IF(N517=1,IF(E517="Yes","Filled","Unbudgeted hire"),IF(E517="Yes",IF(H517="Hold","Open: on hold","Open: to fill"),"Unbudgeted (left)"))</f>
        <v>Filled</v>
      </c>
    </row>
    <row r="518" spans="1:23" x14ac:dyDescent="0.25">
      <c r="A518" s="76" t="s">
        <v>957</v>
      </c>
      <c r="B518" s="76" t="s">
        <v>358</v>
      </c>
      <c r="C518" s="76" t="s">
        <v>907</v>
      </c>
      <c r="D518" s="97">
        <v>2</v>
      </c>
      <c r="E518" s="98" t="s">
        <v>325</v>
      </c>
      <c r="F518" s="78">
        <v>81000</v>
      </c>
      <c r="G518" s="97">
        <v>1</v>
      </c>
      <c r="H518" s="98" t="s">
        <v>399</v>
      </c>
      <c r="J518" s="99">
        <f>1+Assumptions!$B$11+INDEX(Assumptions!$B$12:$B$15,D518)*Assumptions!$B$16</f>
        <v>1.35</v>
      </c>
      <c r="K518" s="82">
        <f t="shared" si="56"/>
        <v>109350</v>
      </c>
      <c r="L518" s="100">
        <f>IF(E518="Yes",MAX(0,Assumptions!$B$8-G518+1),0)</f>
        <v>8</v>
      </c>
      <c r="M518" s="82">
        <f t="shared" si="57"/>
        <v>72900</v>
      </c>
      <c r="N518" s="100">
        <f>MIN(1,SUMIFS(Roster!$N$5:$N$1504,Roster!$B$5:$B$1504,$A518))</f>
        <v>1</v>
      </c>
      <c r="O518" s="100">
        <f>SUMIFS(Roster!$L$5:$L$1504,Roster!$B$5:$B$1504,$A518)</f>
        <v>8</v>
      </c>
      <c r="P518" s="83">
        <f>SUMIFS(Roster!$M$5:$M$1504,Roster!$B$5:$B$1504,$A518)*J518</f>
        <v>72270.000000000015</v>
      </c>
      <c r="Q518" s="83">
        <f>SUMIFS(Roster!$O$5:$O$1504,Roster!$B$5:$B$1504,$A518)*J518</f>
        <v>108405</v>
      </c>
      <c r="R518" s="82">
        <f t="shared" si="58"/>
        <v>108405</v>
      </c>
      <c r="S518" s="82">
        <f t="shared" si="59"/>
        <v>0</v>
      </c>
      <c r="T518" s="82">
        <f t="shared" si="60"/>
        <v>629.99999999998545</v>
      </c>
      <c r="U518" s="82">
        <f t="shared" si="61"/>
        <v>0</v>
      </c>
      <c r="V518" s="83">
        <f>IF(COUNTIFS(Roster!$B$5:$B$1504,$A518,Roster!$G$5:$G$1504,"&gt;0")=0,0,SUMIFS(Roster!$H$5:$H$1504,Roster!$B$5:$B$1504,$A518,Roster!$G$5:$G$1504,_xlfn.MAXIFS(Roster!$G$5:$G$1504,Roster!$B$5:$B$1504,$A518)))</f>
        <v>0</v>
      </c>
      <c r="W518" s="101" t="str">
        <f t="shared" si="62"/>
        <v>Filled</v>
      </c>
    </row>
    <row r="519" spans="1:23" x14ac:dyDescent="0.25">
      <c r="A519" s="76" t="s">
        <v>958</v>
      </c>
      <c r="B519" s="76" t="s">
        <v>358</v>
      </c>
      <c r="C519" s="76" t="s">
        <v>907</v>
      </c>
      <c r="D519" s="97">
        <v>2</v>
      </c>
      <c r="E519" s="98" t="s">
        <v>325</v>
      </c>
      <c r="F519" s="78">
        <v>81000</v>
      </c>
      <c r="G519" s="97">
        <v>1</v>
      </c>
      <c r="H519" s="98" t="s">
        <v>399</v>
      </c>
      <c r="J519" s="99">
        <f>1+Assumptions!$B$11+INDEX(Assumptions!$B$12:$B$15,D519)*Assumptions!$B$16</f>
        <v>1.35</v>
      </c>
      <c r="K519" s="82">
        <f t="shared" si="56"/>
        <v>109350</v>
      </c>
      <c r="L519" s="100">
        <f>IF(E519="Yes",MAX(0,Assumptions!$B$8-G519+1),0)</f>
        <v>8</v>
      </c>
      <c r="M519" s="82">
        <f t="shared" si="57"/>
        <v>72900</v>
      </c>
      <c r="N519" s="100">
        <f>MIN(1,SUMIFS(Roster!$N$5:$N$1504,Roster!$B$5:$B$1504,$A519))</f>
        <v>1</v>
      </c>
      <c r="O519" s="100">
        <f>SUMIFS(Roster!$L$5:$L$1504,Roster!$B$5:$B$1504,$A519)</f>
        <v>8</v>
      </c>
      <c r="P519" s="83">
        <f>SUMIFS(Roster!$M$5:$M$1504,Roster!$B$5:$B$1504,$A519)*J519</f>
        <v>73350.000000000015</v>
      </c>
      <c r="Q519" s="83">
        <f>SUMIFS(Roster!$O$5:$O$1504,Roster!$B$5:$B$1504,$A519)*J519</f>
        <v>110025</v>
      </c>
      <c r="R519" s="82">
        <f t="shared" si="58"/>
        <v>110025</v>
      </c>
      <c r="S519" s="82">
        <f t="shared" si="59"/>
        <v>0</v>
      </c>
      <c r="T519" s="82">
        <f t="shared" si="60"/>
        <v>-450.00000000001455</v>
      </c>
      <c r="U519" s="82">
        <f t="shared" si="61"/>
        <v>0</v>
      </c>
      <c r="V519" s="83">
        <f>IF(COUNTIFS(Roster!$B$5:$B$1504,$A519,Roster!$G$5:$G$1504,"&gt;0")=0,0,SUMIFS(Roster!$H$5:$H$1504,Roster!$B$5:$B$1504,$A519,Roster!$G$5:$G$1504,_xlfn.MAXIFS(Roster!$G$5:$G$1504,Roster!$B$5:$B$1504,$A519)))</f>
        <v>0</v>
      </c>
      <c r="W519" s="101" t="str">
        <f t="shared" si="62"/>
        <v>Filled</v>
      </c>
    </row>
    <row r="520" spans="1:23" x14ac:dyDescent="0.25">
      <c r="A520" s="76" t="s">
        <v>959</v>
      </c>
      <c r="B520" s="76" t="s">
        <v>358</v>
      </c>
      <c r="C520" s="76" t="s">
        <v>905</v>
      </c>
      <c r="D520" s="97">
        <v>1</v>
      </c>
      <c r="E520" s="98" t="s">
        <v>325</v>
      </c>
      <c r="F520" s="78">
        <v>65500</v>
      </c>
      <c r="G520" s="97">
        <v>1</v>
      </c>
      <c r="H520" s="98" t="s">
        <v>399</v>
      </c>
      <c r="J520" s="99">
        <f>1+Assumptions!$B$11+INDEX(Assumptions!$B$12:$B$15,D520)*Assumptions!$B$16</f>
        <v>1.3</v>
      </c>
      <c r="K520" s="82">
        <f t="shared" si="56"/>
        <v>85150</v>
      </c>
      <c r="L520" s="100">
        <f>IF(E520="Yes",MAX(0,Assumptions!$B$8-G520+1),0)</f>
        <v>8</v>
      </c>
      <c r="M520" s="82">
        <f t="shared" si="57"/>
        <v>56766.666666666664</v>
      </c>
      <c r="N520" s="100">
        <f>MIN(1,SUMIFS(Roster!$N$5:$N$1504,Roster!$B$5:$B$1504,$A520))</f>
        <v>1</v>
      </c>
      <c r="O520" s="100">
        <f>SUMIFS(Roster!$L$5:$L$1504,Roster!$B$5:$B$1504,$A520)</f>
        <v>8</v>
      </c>
      <c r="P520" s="83">
        <f>SUMIFS(Roster!$M$5:$M$1504,Roster!$B$5:$B$1504,$A520)*J520</f>
        <v>56246.666666666664</v>
      </c>
      <c r="Q520" s="83">
        <f>SUMIFS(Roster!$O$5:$O$1504,Roster!$B$5:$B$1504,$A520)*J520</f>
        <v>84370</v>
      </c>
      <c r="R520" s="82">
        <f t="shared" si="58"/>
        <v>84370</v>
      </c>
      <c r="S520" s="82">
        <f t="shared" si="59"/>
        <v>0</v>
      </c>
      <c r="T520" s="82">
        <f t="shared" si="60"/>
        <v>520</v>
      </c>
      <c r="U520" s="82">
        <f t="shared" si="61"/>
        <v>0</v>
      </c>
      <c r="V520" s="83">
        <f>IF(COUNTIFS(Roster!$B$5:$B$1504,$A520,Roster!$G$5:$G$1504,"&gt;0")=0,0,SUMIFS(Roster!$H$5:$H$1504,Roster!$B$5:$B$1504,$A520,Roster!$G$5:$G$1504,_xlfn.MAXIFS(Roster!$G$5:$G$1504,Roster!$B$5:$B$1504,$A520)))</f>
        <v>0</v>
      </c>
      <c r="W520" s="101" t="str">
        <f t="shared" si="62"/>
        <v>Filled</v>
      </c>
    </row>
    <row r="521" spans="1:23" x14ac:dyDescent="0.25">
      <c r="A521" s="76" t="s">
        <v>960</v>
      </c>
      <c r="B521" s="76" t="s">
        <v>358</v>
      </c>
      <c r="C521" s="76" t="s">
        <v>905</v>
      </c>
      <c r="D521" s="97">
        <v>1</v>
      </c>
      <c r="E521" s="98" t="s">
        <v>325</v>
      </c>
      <c r="F521" s="78">
        <v>55500</v>
      </c>
      <c r="G521" s="97">
        <v>1</v>
      </c>
      <c r="H521" s="98" t="s">
        <v>399</v>
      </c>
      <c r="J521" s="99">
        <f>1+Assumptions!$B$11+INDEX(Assumptions!$B$12:$B$15,D521)*Assumptions!$B$16</f>
        <v>1.3</v>
      </c>
      <c r="K521" s="82">
        <f t="shared" si="56"/>
        <v>72150</v>
      </c>
      <c r="L521" s="100">
        <f>IF(E521="Yes",MAX(0,Assumptions!$B$8-G521+1),0)</f>
        <v>8</v>
      </c>
      <c r="M521" s="82">
        <f t="shared" si="57"/>
        <v>48100</v>
      </c>
      <c r="N521" s="100">
        <f>MIN(1,SUMIFS(Roster!$N$5:$N$1504,Roster!$B$5:$B$1504,$A521))</f>
        <v>1</v>
      </c>
      <c r="O521" s="100">
        <f>SUMIFS(Roster!$L$5:$L$1504,Roster!$B$5:$B$1504,$A521)</f>
        <v>8</v>
      </c>
      <c r="P521" s="83">
        <f>SUMIFS(Roster!$M$5:$M$1504,Roster!$B$5:$B$1504,$A521)*J521</f>
        <v>48100</v>
      </c>
      <c r="Q521" s="83">
        <f>SUMIFS(Roster!$O$5:$O$1504,Roster!$B$5:$B$1504,$A521)*J521</f>
        <v>72150</v>
      </c>
      <c r="R521" s="82">
        <f t="shared" si="58"/>
        <v>72150</v>
      </c>
      <c r="S521" s="82">
        <f t="shared" si="59"/>
        <v>0</v>
      </c>
      <c r="T521" s="82">
        <f t="shared" si="60"/>
        <v>0</v>
      </c>
      <c r="U521" s="82">
        <f t="shared" si="61"/>
        <v>0</v>
      </c>
      <c r="V521" s="83">
        <f>IF(COUNTIFS(Roster!$B$5:$B$1504,$A521,Roster!$G$5:$G$1504,"&gt;0")=0,0,SUMIFS(Roster!$H$5:$H$1504,Roster!$B$5:$B$1504,$A521,Roster!$G$5:$G$1504,_xlfn.MAXIFS(Roster!$G$5:$G$1504,Roster!$B$5:$B$1504,$A521)))</f>
        <v>0</v>
      </c>
      <c r="W521" s="101" t="str">
        <f t="shared" si="62"/>
        <v>Filled</v>
      </c>
    </row>
    <row r="522" spans="1:23" x14ac:dyDescent="0.25">
      <c r="A522" s="76" t="s">
        <v>961</v>
      </c>
      <c r="B522" s="76" t="s">
        <v>358</v>
      </c>
      <c r="C522" s="76" t="s">
        <v>905</v>
      </c>
      <c r="D522" s="97">
        <v>1</v>
      </c>
      <c r="E522" s="98" t="s">
        <v>325</v>
      </c>
      <c r="F522" s="78">
        <v>55000</v>
      </c>
      <c r="G522" s="97">
        <v>1</v>
      </c>
      <c r="H522" s="98" t="s">
        <v>399</v>
      </c>
      <c r="J522" s="99">
        <f>1+Assumptions!$B$11+INDEX(Assumptions!$B$12:$B$15,D522)*Assumptions!$B$16</f>
        <v>1.3</v>
      </c>
      <c r="K522" s="82">
        <f t="shared" si="56"/>
        <v>71500</v>
      </c>
      <c r="L522" s="100">
        <f>IF(E522="Yes",MAX(0,Assumptions!$B$8-G522+1),0)</f>
        <v>8</v>
      </c>
      <c r="M522" s="82">
        <f t="shared" si="57"/>
        <v>47666.666666666664</v>
      </c>
      <c r="N522" s="100">
        <f>MIN(1,SUMIFS(Roster!$N$5:$N$1504,Roster!$B$5:$B$1504,$A522))</f>
        <v>1</v>
      </c>
      <c r="O522" s="100">
        <f>SUMIFS(Roster!$L$5:$L$1504,Roster!$B$5:$B$1504,$A522)</f>
        <v>8</v>
      </c>
      <c r="P522" s="83">
        <f>SUMIFS(Roster!$M$5:$M$1504,Roster!$B$5:$B$1504,$A522)*J522</f>
        <v>47840</v>
      </c>
      <c r="Q522" s="83">
        <f>SUMIFS(Roster!$O$5:$O$1504,Roster!$B$5:$B$1504,$A522)*J522</f>
        <v>71760</v>
      </c>
      <c r="R522" s="82">
        <f t="shared" si="58"/>
        <v>71760</v>
      </c>
      <c r="S522" s="82">
        <f t="shared" si="59"/>
        <v>0</v>
      </c>
      <c r="T522" s="82">
        <f t="shared" si="60"/>
        <v>-173.33333333333576</v>
      </c>
      <c r="U522" s="82">
        <f t="shared" si="61"/>
        <v>0</v>
      </c>
      <c r="V522" s="83">
        <f>IF(COUNTIFS(Roster!$B$5:$B$1504,$A522,Roster!$G$5:$G$1504,"&gt;0")=0,0,SUMIFS(Roster!$H$5:$H$1504,Roster!$B$5:$B$1504,$A522,Roster!$G$5:$G$1504,_xlfn.MAXIFS(Roster!$G$5:$G$1504,Roster!$B$5:$B$1504,$A522)))</f>
        <v>0</v>
      </c>
      <c r="W522" s="101" t="str">
        <f t="shared" si="62"/>
        <v>Filled</v>
      </c>
    </row>
    <row r="523" spans="1:23" x14ac:dyDescent="0.25">
      <c r="A523" s="76" t="s">
        <v>962</v>
      </c>
      <c r="B523" s="76" t="s">
        <v>358</v>
      </c>
      <c r="C523" s="76" t="s">
        <v>907</v>
      </c>
      <c r="D523" s="97">
        <v>2</v>
      </c>
      <c r="E523" s="98" t="s">
        <v>325</v>
      </c>
      <c r="F523" s="78">
        <v>72500</v>
      </c>
      <c r="G523" s="97">
        <v>3</v>
      </c>
      <c r="H523" s="98" t="s">
        <v>399</v>
      </c>
      <c r="J523" s="99">
        <f>1+Assumptions!$B$11+INDEX(Assumptions!$B$12:$B$15,D523)*Assumptions!$B$16</f>
        <v>1.35</v>
      </c>
      <c r="K523" s="82">
        <f t="shared" si="56"/>
        <v>97875</v>
      </c>
      <c r="L523" s="100">
        <f>IF(E523="Yes",MAX(0,Assumptions!$B$8-G523+1),0)</f>
        <v>6</v>
      </c>
      <c r="M523" s="82">
        <f t="shared" si="57"/>
        <v>48937.5</v>
      </c>
      <c r="N523" s="100">
        <f>MIN(1,SUMIFS(Roster!$N$5:$N$1504,Roster!$B$5:$B$1504,$A523))</f>
        <v>1</v>
      </c>
      <c r="O523" s="100">
        <f>SUMIFS(Roster!$L$5:$L$1504,Roster!$B$5:$B$1504,$A523)</f>
        <v>6</v>
      </c>
      <c r="P523" s="83">
        <f>SUMIFS(Roster!$M$5:$M$1504,Roster!$B$5:$B$1504,$A523)*J523</f>
        <v>51637.5</v>
      </c>
      <c r="Q523" s="83">
        <f>SUMIFS(Roster!$O$5:$O$1504,Roster!$B$5:$B$1504,$A523)*J523</f>
        <v>103275</v>
      </c>
      <c r="R523" s="82">
        <f t="shared" si="58"/>
        <v>103275</v>
      </c>
      <c r="S523" s="82">
        <f t="shared" si="59"/>
        <v>0</v>
      </c>
      <c r="T523" s="82">
        <f t="shared" si="60"/>
        <v>-2700</v>
      </c>
      <c r="U523" s="82">
        <f t="shared" si="61"/>
        <v>0</v>
      </c>
      <c r="V523" s="83">
        <f>IF(COUNTIFS(Roster!$B$5:$B$1504,$A523,Roster!$G$5:$G$1504,"&gt;0")=0,0,SUMIFS(Roster!$H$5:$H$1504,Roster!$B$5:$B$1504,$A523,Roster!$G$5:$G$1504,_xlfn.MAXIFS(Roster!$G$5:$G$1504,Roster!$B$5:$B$1504,$A523)))</f>
        <v>0</v>
      </c>
      <c r="W523" s="101" t="str">
        <f t="shared" si="62"/>
        <v>Filled</v>
      </c>
    </row>
    <row r="524" spans="1:23" x14ac:dyDescent="0.25">
      <c r="A524" s="76" t="s">
        <v>963</v>
      </c>
      <c r="B524" s="76" t="s">
        <v>358</v>
      </c>
      <c r="C524" s="76" t="s">
        <v>905</v>
      </c>
      <c r="D524" s="97">
        <v>1</v>
      </c>
      <c r="E524" s="98" t="s">
        <v>517</v>
      </c>
      <c r="F524" s="78">
        <v>0</v>
      </c>
      <c r="G524" s="102"/>
      <c r="H524" s="98" t="s">
        <v>399</v>
      </c>
      <c r="J524" s="99">
        <f>1+Assumptions!$B$11+INDEX(Assumptions!$B$12:$B$15,D524)*Assumptions!$B$16</f>
        <v>1.3</v>
      </c>
      <c r="K524" s="82">
        <f t="shared" si="56"/>
        <v>0</v>
      </c>
      <c r="L524" s="100">
        <f>IF(E524="Yes",MAX(0,Assumptions!$B$8-G524+1),0)</f>
        <v>0</v>
      </c>
      <c r="M524" s="82">
        <f t="shared" si="57"/>
        <v>0</v>
      </c>
      <c r="N524" s="100">
        <f>MIN(1,SUMIFS(Roster!$N$5:$N$1504,Roster!$B$5:$B$1504,$A524))</f>
        <v>1</v>
      </c>
      <c r="O524" s="100">
        <f>SUMIFS(Roster!$L$5:$L$1504,Roster!$B$5:$B$1504,$A524)</f>
        <v>6</v>
      </c>
      <c r="P524" s="83">
        <f>SUMIFS(Roster!$M$5:$M$1504,Roster!$B$5:$B$1504,$A524)*J524</f>
        <v>40625</v>
      </c>
      <c r="Q524" s="83">
        <f>SUMIFS(Roster!$O$5:$O$1504,Roster!$B$5:$B$1504,$A524)*J524</f>
        <v>81250</v>
      </c>
      <c r="R524" s="82">
        <f t="shared" si="58"/>
        <v>81250</v>
      </c>
      <c r="S524" s="82">
        <f t="shared" si="59"/>
        <v>0</v>
      </c>
      <c r="T524" s="82">
        <f t="shared" si="60"/>
        <v>0</v>
      </c>
      <c r="U524" s="82">
        <f t="shared" si="61"/>
        <v>-40625</v>
      </c>
      <c r="V524" s="83">
        <f>IF(COUNTIFS(Roster!$B$5:$B$1504,$A524,Roster!$G$5:$G$1504,"&gt;0")=0,0,SUMIFS(Roster!$H$5:$H$1504,Roster!$B$5:$B$1504,$A524,Roster!$G$5:$G$1504,_xlfn.MAXIFS(Roster!$G$5:$G$1504,Roster!$B$5:$B$1504,$A524)))</f>
        <v>0</v>
      </c>
      <c r="W524" s="101" t="str">
        <f t="shared" si="62"/>
        <v>Unbudgeted hire</v>
      </c>
    </row>
    <row r="525" spans="1:23" x14ac:dyDescent="0.25">
      <c r="A525" s="76" t="s">
        <v>964</v>
      </c>
      <c r="B525" s="76" t="s">
        <v>358</v>
      </c>
      <c r="C525" s="76" t="s">
        <v>905</v>
      </c>
      <c r="D525" s="97">
        <v>1</v>
      </c>
      <c r="E525" s="98" t="s">
        <v>517</v>
      </c>
      <c r="F525" s="78">
        <v>0</v>
      </c>
      <c r="G525" s="102"/>
      <c r="H525" s="98" t="s">
        <v>399</v>
      </c>
      <c r="J525" s="99">
        <f>1+Assumptions!$B$11+INDEX(Assumptions!$B$12:$B$15,D525)*Assumptions!$B$16</f>
        <v>1.3</v>
      </c>
      <c r="K525" s="82">
        <f t="shared" si="56"/>
        <v>0</v>
      </c>
      <c r="L525" s="100">
        <f>IF(E525="Yes",MAX(0,Assumptions!$B$8-G525+1),0)</f>
        <v>0</v>
      </c>
      <c r="M525" s="82">
        <f t="shared" si="57"/>
        <v>0</v>
      </c>
      <c r="N525" s="100">
        <f>MIN(1,SUMIFS(Roster!$N$5:$N$1504,Roster!$B$5:$B$1504,$A525))</f>
        <v>1</v>
      </c>
      <c r="O525" s="100">
        <f>SUMIFS(Roster!$L$5:$L$1504,Roster!$B$5:$B$1504,$A525)</f>
        <v>4</v>
      </c>
      <c r="P525" s="83">
        <f>SUMIFS(Roster!$M$5:$M$1504,Roster!$B$5:$B$1504,$A525)*J525</f>
        <v>29900</v>
      </c>
      <c r="Q525" s="83">
        <f>SUMIFS(Roster!$O$5:$O$1504,Roster!$B$5:$B$1504,$A525)*J525</f>
        <v>89700</v>
      </c>
      <c r="R525" s="82">
        <f t="shared" si="58"/>
        <v>89700</v>
      </c>
      <c r="S525" s="82">
        <f t="shared" si="59"/>
        <v>0</v>
      </c>
      <c r="T525" s="82">
        <f t="shared" si="60"/>
        <v>0</v>
      </c>
      <c r="U525" s="82">
        <f t="shared" si="61"/>
        <v>-29900</v>
      </c>
      <c r="V525" s="83">
        <f>IF(COUNTIFS(Roster!$B$5:$B$1504,$A525,Roster!$G$5:$G$1504,"&gt;0")=0,0,SUMIFS(Roster!$H$5:$H$1504,Roster!$B$5:$B$1504,$A525,Roster!$G$5:$G$1504,_xlfn.MAXIFS(Roster!$G$5:$G$1504,Roster!$B$5:$B$1504,$A525)))</f>
        <v>0</v>
      </c>
      <c r="W525" s="101" t="str">
        <f t="shared" si="62"/>
        <v>Unbudgeted hire</v>
      </c>
    </row>
    <row r="526" spans="1:23" x14ac:dyDescent="0.25">
      <c r="A526" s="76" t="s">
        <v>965</v>
      </c>
      <c r="B526" s="76" t="s">
        <v>358</v>
      </c>
      <c r="C526" s="76" t="s">
        <v>907</v>
      </c>
      <c r="D526" s="97">
        <v>2</v>
      </c>
      <c r="E526" s="98" t="s">
        <v>517</v>
      </c>
      <c r="F526" s="78">
        <v>0</v>
      </c>
      <c r="G526" s="102"/>
      <c r="H526" s="98" t="s">
        <v>399</v>
      </c>
      <c r="J526" s="99">
        <f>1+Assumptions!$B$11+INDEX(Assumptions!$B$12:$B$15,D526)*Assumptions!$B$16</f>
        <v>1.35</v>
      </c>
      <c r="K526" s="82">
        <f t="shared" si="56"/>
        <v>0</v>
      </c>
      <c r="L526" s="100">
        <f>IF(E526="Yes",MAX(0,Assumptions!$B$8-G526+1),0)</f>
        <v>0</v>
      </c>
      <c r="M526" s="82">
        <f t="shared" si="57"/>
        <v>0</v>
      </c>
      <c r="N526" s="100">
        <f>MIN(1,SUMIFS(Roster!$N$5:$N$1504,Roster!$B$5:$B$1504,$A526))</f>
        <v>1</v>
      </c>
      <c r="O526" s="100">
        <f>SUMIFS(Roster!$L$5:$L$1504,Roster!$B$5:$B$1504,$A526)</f>
        <v>2</v>
      </c>
      <c r="P526" s="83">
        <f>SUMIFS(Roster!$M$5:$M$1504,Roster!$B$5:$B$1504,$A526)*J526</f>
        <v>21037.500000000004</v>
      </c>
      <c r="Q526" s="83">
        <f>SUMIFS(Roster!$O$5:$O$1504,Roster!$B$5:$B$1504,$A526)*J526</f>
        <v>126225.00000000001</v>
      </c>
      <c r="R526" s="82">
        <f t="shared" si="58"/>
        <v>126225.00000000001</v>
      </c>
      <c r="S526" s="82">
        <f t="shared" si="59"/>
        <v>0</v>
      </c>
      <c r="T526" s="82">
        <f t="shared" si="60"/>
        <v>0</v>
      </c>
      <c r="U526" s="82">
        <f t="shared" si="61"/>
        <v>-21037.500000000004</v>
      </c>
      <c r="V526" s="83">
        <f>IF(COUNTIFS(Roster!$B$5:$B$1504,$A526,Roster!$G$5:$G$1504,"&gt;0")=0,0,SUMIFS(Roster!$H$5:$H$1504,Roster!$B$5:$B$1504,$A526,Roster!$G$5:$G$1504,_xlfn.MAXIFS(Roster!$G$5:$G$1504,Roster!$B$5:$B$1504,$A526)))</f>
        <v>0</v>
      </c>
      <c r="W526" s="101" t="str">
        <f t="shared" si="62"/>
        <v>Unbudgeted hire</v>
      </c>
    </row>
  </sheetData>
  <autoFilter ref="A4:W526" xr:uid="{00000000-0009-0000-0000-000005000000}"/>
  <pageMargins left="0.75" right="0.75" top="1" bottom="1" header="0.511811023622047" footer="0.511811023622047"/>
  <pageSetup fitToHeight="0" orientation="landscape"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D7D31"/>
    <pageSetUpPr fitToPage="1"/>
  </sheetPr>
  <dimension ref="A1:AM20"/>
  <sheetViews>
    <sheetView showGridLines="0" zoomScale="90" zoomScaleNormal="90" workbookViewId="0">
      <pane xSplit="1" ySplit="5" topLeftCell="B6" activePane="bottomRight" state="frozen"/>
      <selection pane="topRight"/>
      <selection pane="bottomLeft"/>
      <selection pane="bottomRight"/>
    </sheetView>
  </sheetViews>
  <sheetFormatPr defaultColWidth="8.7109375" defaultRowHeight="15" x14ac:dyDescent="0.25"/>
  <cols>
    <col min="1" max="1" width="7" customWidth="1"/>
    <col min="2" max="2" width="11" customWidth="1"/>
    <col min="3" max="3" width="24" customWidth="1"/>
    <col min="4" max="4" width="26" customWidth="1"/>
    <col min="5" max="5" width="7" customWidth="1"/>
    <col min="6" max="7" width="12" customWidth="1"/>
    <col min="8" max="9" width="11" customWidth="1"/>
    <col min="10" max="10" width="17.7109375" customWidth="1"/>
    <col min="11" max="11" width="34" customWidth="1"/>
    <col min="12" max="12" width="11" customWidth="1"/>
    <col min="13" max="13" width="27" customWidth="1"/>
    <col min="14" max="14" width="9" customWidth="1"/>
    <col min="15" max="15" width="14" customWidth="1"/>
    <col min="16" max="16" width="11" customWidth="1"/>
    <col min="17" max="17" width="16.85546875" customWidth="1"/>
    <col min="18" max="18" width="10.28515625" customWidth="1"/>
    <col min="19" max="19" width="15.85546875" customWidth="1"/>
    <col min="20" max="20" width="12" customWidth="1"/>
    <col min="21" max="21" width="8" customWidth="1"/>
    <col min="22" max="22" width="11" customWidth="1"/>
    <col min="23" max="24" width="12" customWidth="1"/>
    <col min="25" max="25" width="19.140625" customWidth="1"/>
    <col min="26" max="26" width="14.85546875" customWidth="1"/>
    <col min="27" max="27" width="16" customWidth="1"/>
    <col min="28" max="28" width="16.42578125" customWidth="1"/>
    <col min="29" max="29" width="15" customWidth="1"/>
    <col min="30" max="30" width="12" customWidth="1"/>
    <col min="31" max="33" width="10" customWidth="1"/>
    <col min="34" max="34" width="7" customWidth="1"/>
    <col min="35" max="35" width="40" customWidth="1"/>
    <col min="36" max="36" width="11" customWidth="1"/>
    <col min="37" max="37" width="30" customWidth="1"/>
    <col min="38" max="39" width="9" customWidth="1"/>
  </cols>
  <sheetData>
    <row r="1" spans="1:39" ht="24" customHeight="1" x14ac:dyDescent="0.3">
      <c r="A1" s="6" t="s">
        <v>966</v>
      </c>
    </row>
    <row r="2" spans="1:39" x14ac:dyDescent="0.25">
      <c r="A2" s="38" t="s">
        <v>967</v>
      </c>
    </row>
    <row r="4" spans="1:39" x14ac:dyDescent="0.25">
      <c r="A4" s="73" t="s">
        <v>968</v>
      </c>
      <c r="N4" s="74" t="s">
        <v>305</v>
      </c>
      <c r="AE4" s="92" t="s">
        <v>969</v>
      </c>
    </row>
    <row r="5" spans="1:39" ht="42" customHeight="1" x14ac:dyDescent="0.25">
      <c r="A5" s="2" t="s">
        <v>970</v>
      </c>
      <c r="B5" s="2" t="s">
        <v>971</v>
      </c>
      <c r="C5" s="2" t="s">
        <v>11</v>
      </c>
      <c r="D5" s="2" t="s">
        <v>12</v>
      </c>
      <c r="E5" s="2" t="s">
        <v>378</v>
      </c>
      <c r="F5" s="2" t="s">
        <v>13</v>
      </c>
      <c r="G5" s="2" t="s">
        <v>972</v>
      </c>
      <c r="H5" s="2" t="s">
        <v>973</v>
      </c>
      <c r="I5" s="2" t="s">
        <v>974</v>
      </c>
      <c r="J5" s="2" t="s">
        <v>975</v>
      </c>
      <c r="K5" s="2" t="s">
        <v>976</v>
      </c>
      <c r="L5" s="2" t="s">
        <v>72</v>
      </c>
      <c r="M5" s="2" t="s">
        <v>977</v>
      </c>
      <c r="N5" s="2" t="s">
        <v>978</v>
      </c>
      <c r="O5" s="2" t="s">
        <v>120</v>
      </c>
      <c r="P5" s="2" t="s">
        <v>979</v>
      </c>
      <c r="Q5" s="2" t="s">
        <v>980</v>
      </c>
      <c r="R5" s="2" t="s">
        <v>981</v>
      </c>
      <c r="S5" s="2" t="s">
        <v>384</v>
      </c>
      <c r="T5" s="2" t="s">
        <v>122</v>
      </c>
      <c r="U5" s="2" t="s">
        <v>982</v>
      </c>
      <c r="V5" s="2" t="s">
        <v>983</v>
      </c>
      <c r="W5" s="2" t="s">
        <v>984</v>
      </c>
      <c r="X5" s="2" t="s">
        <v>985</v>
      </c>
      <c r="Y5" s="2" t="s">
        <v>986</v>
      </c>
      <c r="Z5" s="2" t="s">
        <v>987</v>
      </c>
      <c r="AA5" s="2" t="s">
        <v>17</v>
      </c>
      <c r="AB5" s="2" t="s">
        <v>988</v>
      </c>
      <c r="AC5" s="2" t="s">
        <v>989</v>
      </c>
      <c r="AD5" s="2" t="s">
        <v>990</v>
      </c>
      <c r="AE5" s="2" t="s">
        <v>102</v>
      </c>
      <c r="AF5" s="2" t="s">
        <v>106</v>
      </c>
      <c r="AG5" s="2" t="s">
        <v>110</v>
      </c>
      <c r="AH5" s="2" t="s">
        <v>991</v>
      </c>
      <c r="AI5" s="2" t="s">
        <v>18</v>
      </c>
      <c r="AJ5" s="2" t="s">
        <v>9</v>
      </c>
      <c r="AK5" s="2" t="s">
        <v>992</v>
      </c>
      <c r="AL5" s="2" t="s">
        <v>993</v>
      </c>
      <c r="AM5" s="2" t="s">
        <v>994</v>
      </c>
    </row>
    <row r="6" spans="1:39" x14ac:dyDescent="0.25">
      <c r="A6" s="76" t="s">
        <v>995</v>
      </c>
      <c r="B6" s="103">
        <v>46280</v>
      </c>
      <c r="C6" s="76" t="s">
        <v>353</v>
      </c>
      <c r="D6" s="76" t="s">
        <v>405</v>
      </c>
      <c r="E6" s="104">
        <v>1</v>
      </c>
      <c r="F6" s="76" t="s">
        <v>996</v>
      </c>
      <c r="G6" s="76" t="s">
        <v>474</v>
      </c>
      <c r="H6" s="78">
        <v>60000</v>
      </c>
      <c r="I6" s="103">
        <v>46296</v>
      </c>
      <c r="J6" s="78"/>
      <c r="K6" s="75" t="s">
        <v>997</v>
      </c>
      <c r="L6" s="76" t="s">
        <v>998</v>
      </c>
      <c r="M6" s="76"/>
      <c r="N6" s="105" t="str">
        <f t="shared" ref="N6:N20" si="0">IF($A6="","",IF($G6="","No","Yes"))</f>
        <v>Yes</v>
      </c>
      <c r="O6" s="106" t="str">
        <f t="shared" ref="O6:O20" si="1">IF($A6="","",IF($F6="Replacement","Backfill",IF($AB6=1,"Deal-funded add",IF($N6="Yes","Budgeted add","Unbudgeted add"))))</f>
        <v>Backfill</v>
      </c>
      <c r="P6" s="83">
        <f>IF($A6="","",IF($F6="Replacement",INDEX(Seats!$V$5:$V$1000,MATCH($G6,Seats!$A$5:$A$1000,0)),IF($N6="Yes",INDEX(Seats!$F$5:$F$1000,MATCH($G6,Seats!$A$5:$A$1000,0)),$J6)))</f>
        <v>58300</v>
      </c>
      <c r="Q6" s="106" t="str">
        <f t="shared" ref="Q6:Q20" si="2">IF($A6="","",IF($F6="Replacement","Last person's pay",IF($N6="Yes","Budget pay","Market midpoint")))</f>
        <v>Last person's pay</v>
      </c>
      <c r="R6" s="107">
        <f t="shared" ref="R6:R20" si="3">IF($A6="","",IF($P6=0,0,$H6/$P6-1))</f>
        <v>2.9159519725557415E-2</v>
      </c>
      <c r="S6" s="108">
        <f>IF($A6="","",1+Assumptions!$B$11+INDEX(Assumptions!$B$12:$B$15,$E6)*Assumptions!$B$16)</f>
        <v>1.3</v>
      </c>
      <c r="T6" s="82">
        <f t="shared" ref="T6:T20" si="4">IF($A6="","",$H6*$S6)</f>
        <v>78000</v>
      </c>
      <c r="U6" s="109">
        <f>IF($A6="","",IF(YEAR($I6)=Assumptions!$B$7,13-MONTH($I6),0))</f>
        <v>3</v>
      </c>
      <c r="V6" s="82">
        <f t="shared" ref="V6:V20" si="5">IF($A6="","",$T6/12*$U6)</f>
        <v>19500</v>
      </c>
      <c r="W6" s="83">
        <f>IF($A6="","",IF($N6="Yes",IF(INDEX(Seats!$H$5:$H$1000,MATCH($G6,Seats!$A$5:$A$1000,0))="Fill",INDEX(Seats!$K$5:$K$1000,MATCH($G6,Seats!$A$5:$A$1000,0)),0),0))</f>
        <v>76050</v>
      </c>
      <c r="X6" s="82">
        <f t="shared" ref="X6:X20" si="6">IF($A6="","",$T6-$W6)</f>
        <v>1950</v>
      </c>
      <c r="Y6" s="83">
        <f>IF($A6="","",$X6*Assumptions!$B$30)</f>
        <v>2008.5</v>
      </c>
      <c r="Z6" s="83">
        <f>IF($A6="","",INDEX('Dept Summary'!$M$5:$M$15,MATCH($C6,'Dept Summary'!$A$5:$A$15,0)))</f>
        <v>-185530</v>
      </c>
      <c r="AA6" s="82">
        <f t="shared" ref="AA6:AA20" si="7">IF($A6="","",$Z6-SUMIFS($X$6:$X$20,$C$6:$C$20,$C6,$L$6:$L$20,"Approved",$AB$6:$AB$20,0)-IF($L6="Pending",SUMIFS($X$6:$X$20,$C$6:$C$20,$C6,$L$6:$L$20,"Pending",$AB$6:$AB$20,0,$AM$6:$AM$20,"&lt;="&amp;$AM6),0))</f>
        <v>-187480</v>
      </c>
      <c r="AB6" s="109">
        <f>IF($A6="","",IF($M6="",0,IF(COUNTIFS(Acquisitions!$A$6:$A$10,$M6,Acquisitions!$B$6:$B$10,"Yes")=0,0,IF(INDEX(Acquisitions!$R$6:$R$10,MATCH($M6,Acquisitions!$A$6:$A$10,0))&gt;=0,1,0))))</f>
        <v>0</v>
      </c>
      <c r="AC6" s="109">
        <f>IF($A6="","",IF($AB6=0,0,IF(YEAR($I6)&gt;Assumptions!$B$7+1,0,MAX(0,INDEX(Acquisitions!$C$6:$C$10,MATCH($M6,Acquisitions!$A$6:$A$10,0))-IF(YEAR($I6)=Assumptions!$B$7+1,MONTH($I6),1)))))</f>
        <v>0</v>
      </c>
      <c r="AD6" s="82">
        <f t="shared" ref="AD6:AD20" si="8">IF($A6="","",$T6/12*$AC6)</f>
        <v>0</v>
      </c>
      <c r="AE6" s="109">
        <f>IF($A6="","",IF($R6&gt;Assumptions!$B$20,1,0))</f>
        <v>0</v>
      </c>
      <c r="AF6" s="110">
        <f t="shared" ref="AF6:AF20" si="9">IF($A6="","",IF(AND($F6="Net-new",$N6="No",$AB6=0),1,0))</f>
        <v>0</v>
      </c>
      <c r="AG6" s="109">
        <f>IF($A6="","",IF(AND($F6="Net-new",$AB6=0,$X6&gt;0,$AA6&lt;-Assumptions!$B$21*INDEX('Dept Summary'!$K$5:$K$15,MATCH($C6,'Dept Summary'!$A$5:$A$15,0))),1,0))</f>
        <v>0</v>
      </c>
      <c r="AH6" s="110">
        <f t="shared" ref="AH6:AH20" si="10">IF($A6="","",SUM($AE6:$AG6))</f>
        <v>0</v>
      </c>
      <c r="AI6" s="111" t="str">
        <f t="shared" ref="AI6:AI20" si="11">IF($A6="","",IF($AH6=0,IF($AB6=1,"None: deal-funded"&amp;IF($AC6&gt;0,"; "&amp;$AC6&amp;" months before close ("&amp;TEXT($AD6/1000,"$#,##0")&amp;"K integration cost)",""),"None"),MID(IF($AE6=1,"; Pay "&amp;TEXT($R6,"+0%")&amp;" vs "&amp;LOWER($Q6),"")&amp;IF($AF6=1,"; Not in FY26 budget","")&amp;IF($AG6=1,"; dept over after hire",""),3,300)))</f>
        <v>None</v>
      </c>
      <c r="AJ6" s="106" t="str">
        <f t="shared" ref="AJ6:AJ20" si="12">IF($A6="","",IF($AH6=0,IF($F6="Replacement","Fast-track","Approve"),IF($AH6=1,"Review","Challenge")))</f>
        <v>Fast-track</v>
      </c>
      <c r="AK6" s="111" t="str">
        <f t="shared" ref="AK6:AK20" si="13">IF($A6="","",IF($AJ6="Fast-track","Approve on consent",IF($AJ6="Approve","Approve",IF($AJ6="Review","Discuss the one flag","Send back: find an offset or make the case"))))</f>
        <v>Approve on consent</v>
      </c>
      <c r="AL6" s="112">
        <f>IF(OR($A6="",$L6&lt;&gt;"Pending"),"",MATCH($AJ6,{"Fast-track","Approve","Review","Challenge"},0)*10000+$AM6)</f>
        <v>10106</v>
      </c>
      <c r="AM6" s="112">
        <f>IF(OR($A6="",$L6&lt;&gt;"Pending"),"",IF(($AE6+$AF6+IF(AND($F6="Net-new",$AB6=0,$X6&gt;0,$Z6-$X6&lt;-Assumptions!$B$21*INDEX('Dept Summary'!$K$5:$K$15,MATCH($C6,'Dept Summary'!$A$5:$A$15,0))),1,0))=0,IF($F6="Replacement",1,2),IF(($AE6+$AF6+IF(AND($F6="Net-new",$AB6=0,$X6&gt;0,$Z6-$X6&lt;-Assumptions!$B$21*INDEX('Dept Summary'!$K$5:$K$15,MATCH($C6,'Dept Summary'!$A$5:$A$15,0))),1,0))=1,3,4))*100+ROW())</f>
        <v>106</v>
      </c>
    </row>
    <row r="7" spans="1:39" ht="25.5" customHeight="1" x14ac:dyDescent="0.25">
      <c r="A7" s="76" t="s">
        <v>999</v>
      </c>
      <c r="B7" s="103">
        <v>46279</v>
      </c>
      <c r="C7" s="76" t="s">
        <v>359</v>
      </c>
      <c r="D7" s="76" t="s">
        <v>826</v>
      </c>
      <c r="E7" s="104">
        <v>2</v>
      </c>
      <c r="F7" s="76" t="s">
        <v>996</v>
      </c>
      <c r="G7" s="76" t="s">
        <v>881</v>
      </c>
      <c r="H7" s="78">
        <v>91000</v>
      </c>
      <c r="I7" s="103">
        <v>46296</v>
      </c>
      <c r="J7" s="78"/>
      <c r="K7" s="75" t="s">
        <v>1000</v>
      </c>
      <c r="L7" s="76" t="s">
        <v>998</v>
      </c>
      <c r="M7" s="76"/>
      <c r="N7" s="105" t="str">
        <f t="shared" si="0"/>
        <v>Yes</v>
      </c>
      <c r="O7" s="106" t="str">
        <f t="shared" si="1"/>
        <v>Backfill</v>
      </c>
      <c r="P7" s="83">
        <f>IF($A7="","",IF($F7="Replacement",INDEX(Seats!$V$5:$V$1000,MATCH($G7,Seats!$A$5:$A$1000,0)),IF($N7="Yes",INDEX(Seats!$F$5:$F$1000,MATCH($G7,Seats!$A$5:$A$1000,0)),$J7)))</f>
        <v>81300</v>
      </c>
      <c r="Q7" s="106" t="str">
        <f t="shared" si="2"/>
        <v>Last person's pay</v>
      </c>
      <c r="R7" s="107">
        <f t="shared" si="3"/>
        <v>0.11931119311193106</v>
      </c>
      <c r="S7" s="108">
        <f>IF($A7="","",1+Assumptions!$B$11+INDEX(Assumptions!$B$12:$B$15,$E7)*Assumptions!$B$16)</f>
        <v>1.35</v>
      </c>
      <c r="T7" s="82">
        <f t="shared" si="4"/>
        <v>122850.00000000001</v>
      </c>
      <c r="U7" s="109">
        <f>IF($A7="","",IF(YEAR($I7)=Assumptions!$B$7,13-MONTH($I7),0))</f>
        <v>3</v>
      </c>
      <c r="V7" s="82">
        <f t="shared" si="5"/>
        <v>30712.500000000007</v>
      </c>
      <c r="W7" s="83">
        <f>IF($A7="","",IF($N7="Yes",IF(INDEX(Seats!$H$5:$H$1000,MATCH($G7,Seats!$A$5:$A$1000,0))="Fill",INDEX(Seats!$K$5:$K$1000,MATCH($G7,Seats!$A$5:$A$1000,0)),0),0))</f>
        <v>108675</v>
      </c>
      <c r="X7" s="82">
        <f t="shared" si="6"/>
        <v>14175.000000000015</v>
      </c>
      <c r="Y7" s="83">
        <f>IF($A7="","",$X7*Assumptions!$B$30)</f>
        <v>14600.250000000015</v>
      </c>
      <c r="Z7" s="83">
        <f>IF($A7="","",INDEX('Dept Summary'!$M$5:$M$15,MATCH($C7,'Dept Summary'!$A$5:$A$15,0)))</f>
        <v>-12420</v>
      </c>
      <c r="AA7" s="82">
        <f t="shared" si="7"/>
        <v>-32195.000000000015</v>
      </c>
      <c r="AB7" s="109">
        <f>IF($A7="","",IF($M7="",0,IF(COUNTIFS(Acquisitions!$A$6:$A$10,$M7,Acquisitions!$B$6:$B$10,"Yes")=0,0,IF(INDEX(Acquisitions!$R$6:$R$10,MATCH($M7,Acquisitions!$A$6:$A$10,0))&gt;=0,1,0))))</f>
        <v>0</v>
      </c>
      <c r="AC7" s="109">
        <f>IF($A7="","",IF($AB7=0,0,IF(YEAR($I7)&gt;Assumptions!$B$7+1,0,MAX(0,INDEX(Acquisitions!$C$6:$C$10,MATCH($M7,Acquisitions!$A$6:$A$10,0))-IF(YEAR($I7)=Assumptions!$B$7+1,MONTH($I7),1)))))</f>
        <v>0</v>
      </c>
      <c r="AD7" s="82">
        <f t="shared" si="8"/>
        <v>0</v>
      </c>
      <c r="AE7" s="109">
        <f>IF($A7="","",IF($R7&gt;Assumptions!$B$20,1,0))</f>
        <v>1</v>
      </c>
      <c r="AF7" s="110">
        <f t="shared" si="9"/>
        <v>0</v>
      </c>
      <c r="AG7" s="109">
        <f>IF($A7="","",IF(AND($F7="Net-new",$AB7=0,$X7&gt;0,$AA7&lt;-Assumptions!$B$21*INDEX('Dept Summary'!$K$5:$K$15,MATCH($C7,'Dept Summary'!$A$5:$A$15,0))),1,0))</f>
        <v>0</v>
      </c>
      <c r="AH7" s="110">
        <f t="shared" si="10"/>
        <v>1</v>
      </c>
      <c r="AI7" s="111" t="str">
        <f t="shared" si="11"/>
        <v>Pay +12% vs last person's pay</v>
      </c>
      <c r="AJ7" s="106" t="str">
        <f t="shared" si="12"/>
        <v>Review</v>
      </c>
      <c r="AK7" s="111" t="str">
        <f t="shared" si="13"/>
        <v>Discuss the one flag</v>
      </c>
      <c r="AL7" s="112">
        <f>IF(OR($A7="",$L7&lt;&gt;"Pending"),"",MATCH($AJ7,{"Fast-track","Approve","Review","Challenge"},0)*10000+$AM7)</f>
        <v>30307</v>
      </c>
      <c r="AM7" s="112">
        <f>IF(OR($A7="",$L7&lt;&gt;"Pending"),"",IF(($AE7+$AF7+IF(AND($F7="Net-new",$AB7=0,$X7&gt;0,$Z7-$X7&lt;-Assumptions!$B$21*INDEX('Dept Summary'!$K$5:$K$15,MATCH($C7,'Dept Summary'!$A$5:$A$15,0))),1,0))=0,IF($F7="Replacement",1,2),IF(($AE7+$AF7+IF(AND($F7="Net-new",$AB7=0,$X7&gt;0,$Z7-$X7&lt;-Assumptions!$B$21*INDEX('Dept Summary'!$K$5:$K$15,MATCH($C7,'Dept Summary'!$A$5:$A$15,0))),1,0))=1,3,4))*100+ROW())</f>
        <v>307</v>
      </c>
    </row>
    <row r="8" spans="1:39" ht="25.5" customHeight="1" x14ac:dyDescent="0.25">
      <c r="A8" s="76" t="s">
        <v>1001</v>
      </c>
      <c r="B8" s="103">
        <v>46280</v>
      </c>
      <c r="C8" s="76" t="s">
        <v>355</v>
      </c>
      <c r="D8" s="76" t="s">
        <v>705</v>
      </c>
      <c r="E8" s="104">
        <v>2</v>
      </c>
      <c r="F8" s="76" t="s">
        <v>1002</v>
      </c>
      <c r="G8" s="76" t="s">
        <v>761</v>
      </c>
      <c r="H8" s="78">
        <v>75500</v>
      </c>
      <c r="I8" s="103">
        <v>46327</v>
      </c>
      <c r="J8" s="78"/>
      <c r="K8" s="75" t="s">
        <v>1003</v>
      </c>
      <c r="L8" s="76" t="s">
        <v>998</v>
      </c>
      <c r="M8" s="76"/>
      <c r="N8" s="105" t="str">
        <f t="shared" si="0"/>
        <v>Yes</v>
      </c>
      <c r="O8" s="106" t="str">
        <f t="shared" si="1"/>
        <v>Budgeted add</v>
      </c>
      <c r="P8" s="83">
        <f>IF($A8="","",IF($F8="Replacement",INDEX(Seats!$V$5:$V$1000,MATCH($G8,Seats!$A$5:$A$1000,0)),IF($N8="Yes",INDEX(Seats!$F$5:$F$1000,MATCH($G8,Seats!$A$5:$A$1000,0)),$J8)))</f>
        <v>76500</v>
      </c>
      <c r="Q8" s="106" t="str">
        <f t="shared" si="2"/>
        <v>Budget pay</v>
      </c>
      <c r="R8" s="107">
        <f t="shared" si="3"/>
        <v>-1.3071895424836555E-2</v>
      </c>
      <c r="S8" s="108">
        <f>IF($A8="","",1+Assumptions!$B$11+INDEX(Assumptions!$B$12:$B$15,$E8)*Assumptions!$B$16)</f>
        <v>1.35</v>
      </c>
      <c r="T8" s="82">
        <f t="shared" si="4"/>
        <v>101925</v>
      </c>
      <c r="U8" s="109">
        <f>IF($A8="","",IF(YEAR($I8)=Assumptions!$B$7,13-MONTH($I8),0))</f>
        <v>2</v>
      </c>
      <c r="V8" s="82">
        <f t="shared" si="5"/>
        <v>16987.5</v>
      </c>
      <c r="W8" s="83">
        <f>IF($A8="","",IF($N8="Yes",IF(INDEX(Seats!$H$5:$H$1000,MATCH($G8,Seats!$A$5:$A$1000,0))="Fill",INDEX(Seats!$K$5:$K$1000,MATCH($G8,Seats!$A$5:$A$1000,0)),0),0))</f>
        <v>103275</v>
      </c>
      <c r="X8" s="82">
        <f t="shared" si="6"/>
        <v>-1350</v>
      </c>
      <c r="Y8" s="83">
        <f>IF($A8="","",$X8*Assumptions!$B$30)</f>
        <v>-1390.5</v>
      </c>
      <c r="Z8" s="83">
        <f>IF($A8="","",INDEX('Dept Summary'!$M$5:$M$15,MATCH($C8,'Dept Summary'!$A$5:$A$15,0)))</f>
        <v>-10745</v>
      </c>
      <c r="AA8" s="82">
        <f t="shared" si="7"/>
        <v>-9395</v>
      </c>
      <c r="AB8" s="109">
        <f>IF($A8="","",IF($M8="",0,IF(COUNTIFS(Acquisitions!$A$6:$A$10,$M8,Acquisitions!$B$6:$B$10,"Yes")=0,0,IF(INDEX(Acquisitions!$R$6:$R$10,MATCH($M8,Acquisitions!$A$6:$A$10,0))&gt;=0,1,0))))</f>
        <v>0</v>
      </c>
      <c r="AC8" s="109">
        <f>IF($A8="","",IF($AB8=0,0,IF(YEAR($I8)&gt;Assumptions!$B$7+1,0,MAX(0,INDEX(Acquisitions!$C$6:$C$10,MATCH($M8,Acquisitions!$A$6:$A$10,0))-IF(YEAR($I8)=Assumptions!$B$7+1,MONTH($I8),1)))))</f>
        <v>0</v>
      </c>
      <c r="AD8" s="82">
        <f t="shared" si="8"/>
        <v>0</v>
      </c>
      <c r="AE8" s="109">
        <f>IF($A8="","",IF($R8&gt;Assumptions!$B$20,1,0))</f>
        <v>0</v>
      </c>
      <c r="AF8" s="110">
        <f t="shared" si="9"/>
        <v>0</v>
      </c>
      <c r="AG8" s="109">
        <f>IF($A8="","",IF(AND($F8="Net-new",$AB8=0,$X8&gt;0,$AA8&lt;-Assumptions!$B$21*INDEX('Dept Summary'!$K$5:$K$15,MATCH($C8,'Dept Summary'!$A$5:$A$15,0))),1,0))</f>
        <v>0</v>
      </c>
      <c r="AH8" s="110">
        <f t="shared" si="10"/>
        <v>0</v>
      </c>
      <c r="AI8" s="111" t="str">
        <f t="shared" si="11"/>
        <v>None</v>
      </c>
      <c r="AJ8" s="106" t="str">
        <f t="shared" si="12"/>
        <v>Approve</v>
      </c>
      <c r="AK8" s="111" t="str">
        <f t="shared" si="13"/>
        <v>Approve</v>
      </c>
      <c r="AL8" s="112">
        <f>IF(OR($A8="",$L8&lt;&gt;"Pending"),"",MATCH($AJ8,{"Fast-track","Approve","Review","Challenge"},0)*10000+$AM8)</f>
        <v>20208</v>
      </c>
      <c r="AM8" s="112">
        <f>IF(OR($A8="",$L8&lt;&gt;"Pending"),"",IF(($AE8+$AF8+IF(AND($F8="Net-new",$AB8=0,$X8&gt;0,$Z8-$X8&lt;-Assumptions!$B$21*INDEX('Dept Summary'!$K$5:$K$15,MATCH($C8,'Dept Summary'!$A$5:$A$15,0))),1,0))=0,IF($F8="Replacement",1,2),IF(($AE8+$AF8+IF(AND($F8="Net-new",$AB8=0,$X8&gt;0,$Z8-$X8&lt;-Assumptions!$B$21*INDEX('Dept Summary'!$K$5:$K$15,MATCH($C8,'Dept Summary'!$A$5:$A$15,0))),1,0))=1,3,4))*100+ROW())</f>
        <v>208</v>
      </c>
    </row>
    <row r="9" spans="1:39" ht="25.5" customHeight="1" x14ac:dyDescent="0.25">
      <c r="A9" s="76" t="s">
        <v>1004</v>
      </c>
      <c r="B9" s="103">
        <v>46280</v>
      </c>
      <c r="C9" s="76" t="s">
        <v>355</v>
      </c>
      <c r="D9" s="76" t="s">
        <v>1005</v>
      </c>
      <c r="E9" s="104">
        <v>2</v>
      </c>
      <c r="F9" s="76" t="s">
        <v>1002</v>
      </c>
      <c r="G9" s="76"/>
      <c r="H9" s="78">
        <v>118000</v>
      </c>
      <c r="I9" s="103">
        <v>46327</v>
      </c>
      <c r="J9" s="78">
        <v>115000</v>
      </c>
      <c r="K9" s="75" t="s">
        <v>1006</v>
      </c>
      <c r="L9" s="76" t="s">
        <v>998</v>
      </c>
      <c r="M9" s="76"/>
      <c r="N9" s="105" t="str">
        <f t="shared" si="0"/>
        <v>No</v>
      </c>
      <c r="O9" s="106" t="str">
        <f t="shared" si="1"/>
        <v>Unbudgeted add</v>
      </c>
      <c r="P9" s="83">
        <f>IF($A9="","",IF($F9="Replacement",INDEX(Seats!$V$5:$V$1000,MATCH($G9,Seats!$A$5:$A$1000,0)),IF($N9="Yes",INDEX(Seats!$F$5:$F$1000,MATCH($G9,Seats!$A$5:$A$1000,0)),$J9)))</f>
        <v>115000</v>
      </c>
      <c r="Q9" s="106" t="str">
        <f t="shared" si="2"/>
        <v>Market midpoint</v>
      </c>
      <c r="R9" s="107">
        <f t="shared" si="3"/>
        <v>2.6086956521739202E-2</v>
      </c>
      <c r="S9" s="108">
        <f>IF($A9="","",1+Assumptions!$B$11+INDEX(Assumptions!$B$12:$B$15,$E9)*Assumptions!$B$16)</f>
        <v>1.35</v>
      </c>
      <c r="T9" s="82">
        <f t="shared" si="4"/>
        <v>159300</v>
      </c>
      <c r="U9" s="109">
        <f>IF($A9="","",IF(YEAR($I9)=Assumptions!$B$7,13-MONTH($I9),0))</f>
        <v>2</v>
      </c>
      <c r="V9" s="82">
        <f t="shared" si="5"/>
        <v>26550</v>
      </c>
      <c r="W9" s="83">
        <f>IF($A9="","",IF($N9="Yes",IF(INDEX(Seats!$H$5:$H$1000,MATCH($G9,Seats!$A$5:$A$1000,0))="Fill",INDEX(Seats!$K$5:$K$1000,MATCH($G9,Seats!$A$5:$A$1000,0)),0),0))</f>
        <v>0</v>
      </c>
      <c r="X9" s="82">
        <f t="shared" si="6"/>
        <v>159300</v>
      </c>
      <c r="Y9" s="83">
        <f>IF($A9="","",$X9*Assumptions!$B$30)</f>
        <v>164079</v>
      </c>
      <c r="Z9" s="83">
        <f>IF($A9="","",INDEX('Dept Summary'!$M$5:$M$15,MATCH($C9,'Dept Summary'!$A$5:$A$15,0)))</f>
        <v>-10745</v>
      </c>
      <c r="AA9" s="82">
        <f t="shared" si="7"/>
        <v>-168695</v>
      </c>
      <c r="AB9" s="109">
        <f>IF($A9="","",IF($M9="",0,IF(COUNTIFS(Acquisitions!$A$6:$A$10,$M9,Acquisitions!$B$6:$B$10,"Yes")=0,0,IF(INDEX(Acquisitions!$R$6:$R$10,MATCH($M9,Acquisitions!$A$6:$A$10,0))&gt;=0,1,0))))</f>
        <v>0</v>
      </c>
      <c r="AC9" s="109">
        <f>IF($A9="","",IF($AB9=0,0,IF(YEAR($I9)&gt;Assumptions!$B$7+1,0,MAX(0,INDEX(Acquisitions!$C$6:$C$10,MATCH($M9,Acquisitions!$A$6:$A$10,0))-IF(YEAR($I9)=Assumptions!$B$7+1,MONTH($I9),1)))))</f>
        <v>0</v>
      </c>
      <c r="AD9" s="82">
        <f t="shared" si="8"/>
        <v>0</v>
      </c>
      <c r="AE9" s="109">
        <f>IF($A9="","",IF($R9&gt;Assumptions!$B$20,1,0))</f>
        <v>0</v>
      </c>
      <c r="AF9" s="110">
        <f t="shared" si="9"/>
        <v>1</v>
      </c>
      <c r="AG9" s="109">
        <f>IF($A9="","",IF(AND($F9="Net-new",$AB9=0,$X9&gt;0,$AA9&lt;-Assumptions!$B$21*INDEX('Dept Summary'!$K$5:$K$15,MATCH($C9,'Dept Summary'!$A$5:$A$15,0))),1,0))</f>
        <v>1</v>
      </c>
      <c r="AH9" s="110">
        <f t="shared" si="10"/>
        <v>2</v>
      </c>
      <c r="AI9" s="111" t="str">
        <f t="shared" si="11"/>
        <v>Not in FY26 budget; dept over after hire</v>
      </c>
      <c r="AJ9" s="106" t="str">
        <f t="shared" si="12"/>
        <v>Challenge</v>
      </c>
      <c r="AK9" s="111" t="str">
        <f t="shared" si="13"/>
        <v>Send back: find an offset or make the case</v>
      </c>
      <c r="AL9" s="112">
        <f>IF(OR($A9="",$L9&lt;&gt;"Pending"),"",MATCH($AJ9,{"Fast-track","Approve","Review","Challenge"},0)*10000+$AM9)</f>
        <v>40409</v>
      </c>
      <c r="AM9" s="112">
        <f>IF(OR($A9="",$L9&lt;&gt;"Pending"),"",IF(($AE9+$AF9+IF(AND($F9="Net-new",$AB9=0,$X9&gt;0,$Z9-$X9&lt;-Assumptions!$B$21*INDEX('Dept Summary'!$K$5:$K$15,MATCH($C9,'Dept Summary'!$A$5:$A$15,0))),1,0))=0,IF($F9="Replacement",1,2),IF(($AE9+$AF9+IF(AND($F9="Net-new",$AB9=0,$X9&gt;0,$Z9-$X9&lt;-Assumptions!$B$21*INDEX('Dept Summary'!$K$5:$K$15,MATCH($C9,'Dept Summary'!$A$5:$A$15,0))),1,0))=1,3,4))*100+ROW())</f>
        <v>409</v>
      </c>
    </row>
    <row r="10" spans="1:39" ht="25.5" customHeight="1" x14ac:dyDescent="0.25">
      <c r="A10" s="76" t="s">
        <v>1007</v>
      </c>
      <c r="B10" s="103">
        <v>46280</v>
      </c>
      <c r="C10" s="76" t="s">
        <v>358</v>
      </c>
      <c r="D10" s="76" t="s">
        <v>905</v>
      </c>
      <c r="E10" s="104">
        <v>1</v>
      </c>
      <c r="F10" s="76" t="s">
        <v>1002</v>
      </c>
      <c r="G10" s="76"/>
      <c r="H10" s="78">
        <v>62000</v>
      </c>
      <c r="I10" s="103">
        <v>46296</v>
      </c>
      <c r="J10" s="78">
        <v>60000</v>
      </c>
      <c r="K10" s="75" t="s">
        <v>1008</v>
      </c>
      <c r="L10" s="76" t="s">
        <v>998</v>
      </c>
      <c r="M10" s="76"/>
      <c r="N10" s="105" t="str">
        <f t="shared" si="0"/>
        <v>No</v>
      </c>
      <c r="O10" s="106" t="str">
        <f t="shared" si="1"/>
        <v>Unbudgeted add</v>
      </c>
      <c r="P10" s="83">
        <f>IF($A10="","",IF($F10="Replacement",INDEX(Seats!$V$5:$V$1000,MATCH($G10,Seats!$A$5:$A$1000,0)),IF($N10="Yes",INDEX(Seats!$F$5:$F$1000,MATCH($G10,Seats!$A$5:$A$1000,0)),$J10)))</f>
        <v>60000</v>
      </c>
      <c r="Q10" s="106" t="str">
        <f t="shared" si="2"/>
        <v>Market midpoint</v>
      </c>
      <c r="R10" s="107">
        <f t="shared" si="3"/>
        <v>3.3333333333333437E-2</v>
      </c>
      <c r="S10" s="108">
        <f>IF($A10="","",1+Assumptions!$B$11+INDEX(Assumptions!$B$12:$B$15,$E10)*Assumptions!$B$16)</f>
        <v>1.3</v>
      </c>
      <c r="T10" s="82">
        <f t="shared" si="4"/>
        <v>80600</v>
      </c>
      <c r="U10" s="109">
        <f>IF($A10="","",IF(YEAR($I10)=Assumptions!$B$7,13-MONTH($I10),0))</f>
        <v>3</v>
      </c>
      <c r="V10" s="82">
        <f t="shared" si="5"/>
        <v>20150</v>
      </c>
      <c r="W10" s="83">
        <f>IF($A10="","",IF($N10="Yes",IF(INDEX(Seats!$H$5:$H$1000,MATCH($G10,Seats!$A$5:$A$1000,0))="Fill",INDEX(Seats!$K$5:$K$1000,MATCH($G10,Seats!$A$5:$A$1000,0)),0),0))</f>
        <v>0</v>
      </c>
      <c r="X10" s="82">
        <f t="shared" si="6"/>
        <v>80600</v>
      </c>
      <c r="Y10" s="83">
        <f>IF($A10="","",$X10*Assumptions!$B$30)</f>
        <v>83018</v>
      </c>
      <c r="Z10" s="83">
        <f>IF($A10="","",INDEX('Dept Summary'!$M$5:$M$15,MATCH($C10,'Dept Summary'!$A$5:$A$15,0)))</f>
        <v>-310290</v>
      </c>
      <c r="AA10" s="82">
        <f t="shared" si="7"/>
        <v>-390890</v>
      </c>
      <c r="AB10" s="109">
        <f>IF($A10="","",IF($M10="",0,IF(COUNTIFS(Acquisitions!$A$6:$A$10,$M10,Acquisitions!$B$6:$B$10,"Yes")=0,0,IF(INDEX(Acquisitions!$R$6:$R$10,MATCH($M10,Acquisitions!$A$6:$A$10,0))&gt;=0,1,0))))</f>
        <v>0</v>
      </c>
      <c r="AC10" s="109">
        <f>IF($A10="","",IF($AB10=0,0,IF(YEAR($I10)&gt;Assumptions!$B$7+1,0,MAX(0,INDEX(Acquisitions!$C$6:$C$10,MATCH($M10,Acquisitions!$A$6:$A$10,0))-IF(YEAR($I10)=Assumptions!$B$7+1,MONTH($I10),1)))))</f>
        <v>0</v>
      </c>
      <c r="AD10" s="82">
        <f t="shared" si="8"/>
        <v>0</v>
      </c>
      <c r="AE10" s="109">
        <f>IF($A10="","",IF($R10&gt;Assumptions!$B$20,1,0))</f>
        <v>0</v>
      </c>
      <c r="AF10" s="110">
        <f t="shared" si="9"/>
        <v>1</v>
      </c>
      <c r="AG10" s="109">
        <f>IF($A10="","",IF(AND($F10="Net-new",$AB10=0,$X10&gt;0,$AA10&lt;-Assumptions!$B$21*INDEX('Dept Summary'!$K$5:$K$15,MATCH($C10,'Dept Summary'!$A$5:$A$15,0))),1,0))</f>
        <v>1</v>
      </c>
      <c r="AH10" s="110">
        <f t="shared" si="10"/>
        <v>2</v>
      </c>
      <c r="AI10" s="111" t="str">
        <f t="shared" si="11"/>
        <v>Not in FY26 budget; dept over after hire</v>
      </c>
      <c r="AJ10" s="106" t="str">
        <f t="shared" si="12"/>
        <v>Challenge</v>
      </c>
      <c r="AK10" s="111" t="str">
        <f t="shared" si="13"/>
        <v>Send back: find an offset or make the case</v>
      </c>
      <c r="AL10" s="112">
        <f>IF(OR($A10="",$L10&lt;&gt;"Pending"),"",MATCH($AJ10,{"Fast-track","Approve","Review","Challenge"},0)*10000+$AM10)</f>
        <v>40410</v>
      </c>
      <c r="AM10" s="112">
        <f>IF(OR($A10="",$L10&lt;&gt;"Pending"),"",IF(($AE10+$AF10+IF(AND($F10="Net-new",$AB10=0,$X10&gt;0,$Z10-$X10&lt;-Assumptions!$B$21*INDEX('Dept Summary'!$K$5:$K$15,MATCH($C10,'Dept Summary'!$A$5:$A$15,0))),1,0))=0,IF($F10="Replacement",1,2),IF(($AE10+$AF10+IF(AND($F10="Net-new",$AB10=0,$X10&gt;0,$Z10-$X10&lt;-Assumptions!$B$21*INDEX('Dept Summary'!$K$5:$K$15,MATCH($C10,'Dept Summary'!$A$5:$A$15,0))),1,0))=1,3,4))*100+ROW())</f>
        <v>410</v>
      </c>
    </row>
    <row r="11" spans="1:39" x14ac:dyDescent="0.25">
      <c r="A11" s="76" t="s">
        <v>1009</v>
      </c>
      <c r="B11" s="103">
        <v>46282</v>
      </c>
      <c r="C11" s="76" t="s">
        <v>356</v>
      </c>
      <c r="D11" s="76" t="s">
        <v>651</v>
      </c>
      <c r="E11" s="104">
        <v>2</v>
      </c>
      <c r="F11" s="76" t="s">
        <v>996</v>
      </c>
      <c r="G11" s="76" t="s">
        <v>685</v>
      </c>
      <c r="H11" s="78">
        <v>84500</v>
      </c>
      <c r="I11" s="103">
        <v>46296</v>
      </c>
      <c r="J11" s="78"/>
      <c r="K11" s="75" t="s">
        <v>1010</v>
      </c>
      <c r="L11" s="76" t="s">
        <v>998</v>
      </c>
      <c r="M11" s="76"/>
      <c r="N11" s="105" t="str">
        <f t="shared" si="0"/>
        <v>Yes</v>
      </c>
      <c r="O11" s="106" t="str">
        <f t="shared" si="1"/>
        <v>Backfill</v>
      </c>
      <c r="P11" s="83">
        <f>IF($A11="","",IF($F11="Replacement",INDEX(Seats!$V$5:$V$1000,MATCH($G11,Seats!$A$5:$A$1000,0)),IF($N11="Yes",INDEX(Seats!$F$5:$F$1000,MATCH($G11,Seats!$A$5:$A$1000,0)),$J11)))</f>
        <v>86300</v>
      </c>
      <c r="Q11" s="106" t="str">
        <f t="shared" si="2"/>
        <v>Last person's pay</v>
      </c>
      <c r="R11" s="107">
        <f t="shared" si="3"/>
        <v>-2.0857473928157622E-2</v>
      </c>
      <c r="S11" s="108">
        <f>IF($A11="","",1+Assumptions!$B$11+INDEX(Assumptions!$B$12:$B$15,$E11)*Assumptions!$B$16)</f>
        <v>1.35</v>
      </c>
      <c r="T11" s="82">
        <f t="shared" si="4"/>
        <v>114075.00000000001</v>
      </c>
      <c r="U11" s="109">
        <f>IF($A11="","",IF(YEAR($I11)=Assumptions!$B$7,13-MONTH($I11),0))</f>
        <v>3</v>
      </c>
      <c r="V11" s="82">
        <f t="shared" si="5"/>
        <v>28518.750000000007</v>
      </c>
      <c r="W11" s="83">
        <f>IF($A11="","",IF($N11="Yes",IF(INDEX(Seats!$H$5:$H$1000,MATCH($G11,Seats!$A$5:$A$1000,0))="Fill",INDEX(Seats!$K$5:$K$1000,MATCH($G11,Seats!$A$5:$A$1000,0)),0),0))</f>
        <v>115425.00000000001</v>
      </c>
      <c r="X11" s="82">
        <f t="shared" si="6"/>
        <v>-1350</v>
      </c>
      <c r="Y11" s="83">
        <f>IF($A11="","",$X11*Assumptions!$B$30)</f>
        <v>-1390.5</v>
      </c>
      <c r="Z11" s="83">
        <f>IF($A11="","",INDEX('Dept Summary'!$M$5:$M$15,MATCH($C11,'Dept Summary'!$A$5:$A$15,0)))</f>
        <v>2845</v>
      </c>
      <c r="AA11" s="82">
        <f t="shared" si="7"/>
        <v>4195</v>
      </c>
      <c r="AB11" s="109">
        <f>IF($A11="","",IF($M11="",0,IF(COUNTIFS(Acquisitions!$A$6:$A$10,$M11,Acquisitions!$B$6:$B$10,"Yes")=0,0,IF(INDEX(Acquisitions!$R$6:$R$10,MATCH($M11,Acquisitions!$A$6:$A$10,0))&gt;=0,1,0))))</f>
        <v>0</v>
      </c>
      <c r="AC11" s="109">
        <f>IF($A11="","",IF($AB11=0,0,IF(YEAR($I11)&gt;Assumptions!$B$7+1,0,MAX(0,INDEX(Acquisitions!$C$6:$C$10,MATCH($M11,Acquisitions!$A$6:$A$10,0))-IF(YEAR($I11)=Assumptions!$B$7+1,MONTH($I11),1)))))</f>
        <v>0</v>
      </c>
      <c r="AD11" s="82">
        <f t="shared" si="8"/>
        <v>0</v>
      </c>
      <c r="AE11" s="109">
        <f>IF($A11="","",IF($R11&gt;Assumptions!$B$20,1,0))</f>
        <v>0</v>
      </c>
      <c r="AF11" s="110">
        <f t="shared" si="9"/>
        <v>0</v>
      </c>
      <c r="AG11" s="109">
        <f>IF($A11="","",IF(AND($F11="Net-new",$AB11=0,$X11&gt;0,$AA11&lt;-Assumptions!$B$21*INDEX('Dept Summary'!$K$5:$K$15,MATCH($C11,'Dept Summary'!$A$5:$A$15,0))),1,0))</f>
        <v>0</v>
      </c>
      <c r="AH11" s="110">
        <f t="shared" si="10"/>
        <v>0</v>
      </c>
      <c r="AI11" s="111" t="str">
        <f t="shared" si="11"/>
        <v>None</v>
      </c>
      <c r="AJ11" s="106" t="str">
        <f t="shared" si="12"/>
        <v>Fast-track</v>
      </c>
      <c r="AK11" s="111" t="str">
        <f t="shared" si="13"/>
        <v>Approve on consent</v>
      </c>
      <c r="AL11" s="112">
        <f>IF(OR($A11="",$L11&lt;&gt;"Pending"),"",MATCH($AJ11,{"Fast-track","Approve","Review","Challenge"},0)*10000+$AM11)</f>
        <v>10111</v>
      </c>
      <c r="AM11" s="112">
        <f>IF(OR($A11="",$L11&lt;&gt;"Pending"),"",IF(($AE11+$AF11+IF(AND($F11="Net-new",$AB11=0,$X11&gt;0,$Z11-$X11&lt;-Assumptions!$B$21*INDEX('Dept Summary'!$K$5:$K$15,MATCH($C11,'Dept Summary'!$A$5:$A$15,0))),1,0))=0,IF($F11="Replacement",1,2),IF(($AE11+$AF11+IF(AND($F11="Net-new",$AB11=0,$X11&gt;0,$Z11-$X11&lt;-Assumptions!$B$21*INDEX('Dept Summary'!$K$5:$K$15,MATCH($C11,'Dept Summary'!$A$5:$A$15,0))),1,0))=1,3,4))*100+ROW())</f>
        <v>111</v>
      </c>
    </row>
    <row r="12" spans="1:39" ht="25.5" customHeight="1" x14ac:dyDescent="0.25">
      <c r="A12" s="76" t="s">
        <v>1011</v>
      </c>
      <c r="B12" s="103">
        <v>46282</v>
      </c>
      <c r="C12" s="76" t="s">
        <v>357</v>
      </c>
      <c r="D12" s="76" t="s">
        <v>799</v>
      </c>
      <c r="E12" s="104">
        <v>3</v>
      </c>
      <c r="F12" s="76" t="s">
        <v>1002</v>
      </c>
      <c r="G12" s="76" t="s">
        <v>824</v>
      </c>
      <c r="H12" s="78">
        <v>137000</v>
      </c>
      <c r="I12" s="103">
        <v>46327</v>
      </c>
      <c r="J12" s="78"/>
      <c r="K12" s="75" t="s">
        <v>1012</v>
      </c>
      <c r="L12" s="76" t="s">
        <v>998</v>
      </c>
      <c r="M12" s="76"/>
      <c r="N12" s="105" t="str">
        <f t="shared" si="0"/>
        <v>Yes</v>
      </c>
      <c r="O12" s="106" t="str">
        <f t="shared" si="1"/>
        <v>Budgeted add</v>
      </c>
      <c r="P12" s="83">
        <f>IF($A12="","",IF($F12="Replacement",INDEX(Seats!$V$5:$V$1000,MATCH($G12,Seats!$A$5:$A$1000,0)),IF($N12="Yes",INDEX(Seats!$F$5:$F$1000,MATCH($G12,Seats!$A$5:$A$1000,0)),$J12)))</f>
        <v>127000</v>
      </c>
      <c r="Q12" s="106" t="str">
        <f t="shared" si="2"/>
        <v>Budget pay</v>
      </c>
      <c r="R12" s="107">
        <f t="shared" si="3"/>
        <v>7.8740157480315043E-2</v>
      </c>
      <c r="S12" s="108">
        <f>IF($A12="","",1+Assumptions!$B$11+INDEX(Assumptions!$B$12:$B$15,$E12)*Assumptions!$B$16)</f>
        <v>1.4</v>
      </c>
      <c r="T12" s="82">
        <f t="shared" si="4"/>
        <v>191800</v>
      </c>
      <c r="U12" s="109">
        <f>IF($A12="","",IF(YEAR($I12)=Assumptions!$B$7,13-MONTH($I12),0))</f>
        <v>2</v>
      </c>
      <c r="V12" s="82">
        <f t="shared" si="5"/>
        <v>31966.666666666668</v>
      </c>
      <c r="W12" s="83">
        <f>IF($A12="","",IF($N12="Yes",IF(INDEX(Seats!$H$5:$H$1000,MATCH($G12,Seats!$A$5:$A$1000,0))="Fill",INDEX(Seats!$K$5:$K$1000,MATCH($G12,Seats!$A$5:$A$1000,0)),0),0))</f>
        <v>177800</v>
      </c>
      <c r="X12" s="82">
        <f t="shared" si="6"/>
        <v>14000</v>
      </c>
      <c r="Y12" s="83">
        <f>IF($A12="","",$X12*Assumptions!$B$30)</f>
        <v>14420</v>
      </c>
      <c r="Z12" s="83">
        <f>IF($A12="","",INDEX('Dept Summary'!$M$5:$M$15,MATCH($C12,'Dept Summary'!$A$5:$A$15,0)))</f>
        <v>2420</v>
      </c>
      <c r="AA12" s="82">
        <f t="shared" si="7"/>
        <v>-11580</v>
      </c>
      <c r="AB12" s="109">
        <f>IF($A12="","",IF($M12="",0,IF(COUNTIFS(Acquisitions!$A$6:$A$10,$M12,Acquisitions!$B$6:$B$10,"Yes")=0,0,IF(INDEX(Acquisitions!$R$6:$R$10,MATCH($M12,Acquisitions!$A$6:$A$10,0))&gt;=0,1,0))))</f>
        <v>0</v>
      </c>
      <c r="AC12" s="109">
        <f>IF($A12="","",IF($AB12=0,0,IF(YEAR($I12)&gt;Assumptions!$B$7+1,0,MAX(0,INDEX(Acquisitions!$C$6:$C$10,MATCH($M12,Acquisitions!$A$6:$A$10,0))-IF(YEAR($I12)=Assumptions!$B$7+1,MONTH($I12),1)))))</f>
        <v>0</v>
      </c>
      <c r="AD12" s="82">
        <f t="shared" si="8"/>
        <v>0</v>
      </c>
      <c r="AE12" s="109">
        <f>IF($A12="","",IF($R12&gt;Assumptions!$B$20,1,0))</f>
        <v>1</v>
      </c>
      <c r="AF12" s="110">
        <f t="shared" si="9"/>
        <v>0</v>
      </c>
      <c r="AG12" s="109">
        <f>IF($A12="","",IF(AND($F12="Net-new",$AB12=0,$X12&gt;0,$AA12&lt;-Assumptions!$B$21*INDEX('Dept Summary'!$K$5:$K$15,MATCH($C12,'Dept Summary'!$A$5:$A$15,0))),1,0))</f>
        <v>0</v>
      </c>
      <c r="AH12" s="110">
        <f t="shared" si="10"/>
        <v>1</v>
      </c>
      <c r="AI12" s="111" t="str">
        <f t="shared" si="11"/>
        <v>Pay +8% vs budget pay</v>
      </c>
      <c r="AJ12" s="106" t="str">
        <f t="shared" si="12"/>
        <v>Review</v>
      </c>
      <c r="AK12" s="111" t="str">
        <f t="shared" si="13"/>
        <v>Discuss the one flag</v>
      </c>
      <c r="AL12" s="112">
        <f>IF(OR($A12="",$L12&lt;&gt;"Pending"),"",MATCH($AJ12,{"Fast-track","Approve","Review","Challenge"},0)*10000+$AM12)</f>
        <v>30312</v>
      </c>
      <c r="AM12" s="112">
        <f>IF(OR($A12="",$L12&lt;&gt;"Pending"),"",IF(($AE12+$AF12+IF(AND($F12="Net-new",$AB12=0,$X12&gt;0,$Z12-$X12&lt;-Assumptions!$B$21*INDEX('Dept Summary'!$K$5:$K$15,MATCH($C12,'Dept Summary'!$A$5:$A$15,0))),1,0))=0,IF($F12="Replacement",1,2),IF(($AE12+$AF12+IF(AND($F12="Net-new",$AB12=0,$X12&gt;0,$Z12-$X12&lt;-Assumptions!$B$21*INDEX('Dept Summary'!$K$5:$K$15,MATCH($C12,'Dept Summary'!$A$5:$A$15,0))),1,0))=1,3,4))*100+ROW())</f>
        <v>312</v>
      </c>
    </row>
    <row r="13" spans="1:39" ht="25.5" customHeight="1" x14ac:dyDescent="0.25">
      <c r="A13" s="76" t="s">
        <v>1013</v>
      </c>
      <c r="B13" s="103">
        <v>46282</v>
      </c>
      <c r="C13" s="76" t="s">
        <v>360</v>
      </c>
      <c r="D13" s="76" t="s">
        <v>551</v>
      </c>
      <c r="E13" s="104">
        <v>3</v>
      </c>
      <c r="F13" s="76" t="s">
        <v>1002</v>
      </c>
      <c r="G13" s="76"/>
      <c r="H13" s="78">
        <v>128000</v>
      </c>
      <c r="I13" s="103">
        <v>46388</v>
      </c>
      <c r="J13" s="78">
        <v>125000</v>
      </c>
      <c r="K13" s="75" t="s">
        <v>1014</v>
      </c>
      <c r="L13" s="76" t="s">
        <v>998</v>
      </c>
      <c r="M13" s="76" t="s">
        <v>324</v>
      </c>
      <c r="N13" s="105" t="str">
        <f t="shared" si="0"/>
        <v>No</v>
      </c>
      <c r="O13" s="106" t="str">
        <f t="shared" si="1"/>
        <v>Deal-funded add</v>
      </c>
      <c r="P13" s="83">
        <f>IF($A13="","",IF($F13="Replacement",INDEX(Seats!$V$5:$V$1000,MATCH($G13,Seats!$A$5:$A$1000,0)),IF($N13="Yes",INDEX(Seats!$F$5:$F$1000,MATCH($G13,Seats!$A$5:$A$1000,0)),$J13)))</f>
        <v>125000</v>
      </c>
      <c r="Q13" s="106" t="str">
        <f t="shared" si="2"/>
        <v>Market midpoint</v>
      </c>
      <c r="R13" s="107">
        <f t="shared" si="3"/>
        <v>2.4000000000000021E-2</v>
      </c>
      <c r="S13" s="108">
        <f>IF($A13="","",1+Assumptions!$B$11+INDEX(Assumptions!$B$12:$B$15,$E13)*Assumptions!$B$16)</f>
        <v>1.4</v>
      </c>
      <c r="T13" s="82">
        <f t="shared" si="4"/>
        <v>179200</v>
      </c>
      <c r="U13" s="109">
        <f>IF($A13="","",IF(YEAR($I13)=Assumptions!$B$7,13-MONTH($I13),0))</f>
        <v>0</v>
      </c>
      <c r="V13" s="82">
        <f t="shared" si="5"/>
        <v>0</v>
      </c>
      <c r="W13" s="83">
        <f>IF($A13="","",IF($N13="Yes",IF(INDEX(Seats!$H$5:$H$1000,MATCH($G13,Seats!$A$5:$A$1000,0))="Fill",INDEX(Seats!$K$5:$K$1000,MATCH($G13,Seats!$A$5:$A$1000,0)),0),0))</f>
        <v>0</v>
      </c>
      <c r="X13" s="82">
        <f t="shared" si="6"/>
        <v>179200</v>
      </c>
      <c r="Y13" s="83">
        <f>IF($A13="","",$X13*Assumptions!$B$30)</f>
        <v>184576</v>
      </c>
      <c r="Z13" s="83">
        <f>IF($A13="","",INDEX('Dept Summary'!$M$5:$M$15,MATCH($C13,'Dept Summary'!$A$5:$A$15,0)))</f>
        <v>-9965</v>
      </c>
      <c r="AA13" s="82">
        <f t="shared" si="7"/>
        <v>-9965</v>
      </c>
      <c r="AB13" s="109">
        <f>IF($A13="","",IF($M13="",0,IF(COUNTIFS(Acquisitions!$A$6:$A$10,$M13,Acquisitions!$B$6:$B$10,"Yes")=0,0,IF(INDEX(Acquisitions!$R$6:$R$10,MATCH($M13,Acquisitions!$A$6:$A$10,0))&gt;=0,1,0))))</f>
        <v>1</v>
      </c>
      <c r="AC13" s="109">
        <f>IF($A13="","",IF($AB13=0,0,IF(YEAR($I13)&gt;Assumptions!$B$7+1,0,MAX(0,INDEX(Acquisitions!$C$6:$C$10,MATCH($M13,Acquisitions!$A$6:$A$10,0))-IF(YEAR($I13)=Assumptions!$B$7+1,MONTH($I13),1)))))</f>
        <v>3</v>
      </c>
      <c r="AD13" s="82">
        <f t="shared" si="8"/>
        <v>44800</v>
      </c>
      <c r="AE13" s="109">
        <f>IF($A13="","",IF($R13&gt;Assumptions!$B$20,1,0))</f>
        <v>0</v>
      </c>
      <c r="AF13" s="110">
        <f t="shared" si="9"/>
        <v>0</v>
      </c>
      <c r="AG13" s="109">
        <f>IF($A13="","",IF(AND($F13="Net-new",$AB13=0,$X13&gt;0,$AA13&lt;-Assumptions!$B$21*INDEX('Dept Summary'!$K$5:$K$15,MATCH($C13,'Dept Summary'!$A$5:$A$15,0))),1,0))</f>
        <v>0</v>
      </c>
      <c r="AH13" s="110">
        <f t="shared" si="10"/>
        <v>0</v>
      </c>
      <c r="AI13" s="111" t="str">
        <f t="shared" si="11"/>
        <v>None: deal-funded; 3 months before close ($45K integration cost)</v>
      </c>
      <c r="AJ13" s="106" t="str">
        <f t="shared" si="12"/>
        <v>Approve</v>
      </c>
      <c r="AK13" s="111" t="str">
        <f t="shared" si="13"/>
        <v>Approve</v>
      </c>
      <c r="AL13" s="112">
        <f>IF(OR($A13="",$L13&lt;&gt;"Pending"),"",MATCH($AJ13,{"Fast-track","Approve","Review","Challenge"},0)*10000+$AM13)</f>
        <v>20213</v>
      </c>
      <c r="AM13" s="112">
        <f>IF(OR($A13="",$L13&lt;&gt;"Pending"),"",IF(($AE13+$AF13+IF(AND($F13="Net-new",$AB13=0,$X13&gt;0,$Z13-$X13&lt;-Assumptions!$B$21*INDEX('Dept Summary'!$K$5:$K$15,MATCH($C13,'Dept Summary'!$A$5:$A$15,0))),1,0))=0,IF($F13="Replacement",1,2),IF(($AE13+$AF13+IF(AND($F13="Net-new",$AB13=0,$X13&gt;0,$Z13-$X13&lt;-Assumptions!$B$21*INDEX('Dept Summary'!$K$5:$K$15,MATCH($C13,'Dept Summary'!$A$5:$A$15,0))),1,0))=1,3,4))*100+ROW())</f>
        <v>213</v>
      </c>
    </row>
    <row r="14" spans="1:39" x14ac:dyDescent="0.25">
      <c r="A14" s="76" t="s">
        <v>1015</v>
      </c>
      <c r="B14" s="103">
        <v>46281</v>
      </c>
      <c r="C14" s="76" t="s">
        <v>354</v>
      </c>
      <c r="D14" s="76" t="s">
        <v>628</v>
      </c>
      <c r="E14" s="104">
        <v>2</v>
      </c>
      <c r="F14" s="76" t="s">
        <v>1002</v>
      </c>
      <c r="G14" s="76" t="s">
        <v>648</v>
      </c>
      <c r="H14" s="78">
        <v>75500</v>
      </c>
      <c r="I14" s="103">
        <v>46296</v>
      </c>
      <c r="J14" s="78"/>
      <c r="K14" s="75" t="s">
        <v>1016</v>
      </c>
      <c r="L14" s="76" t="s">
        <v>998</v>
      </c>
      <c r="M14" s="76"/>
      <c r="N14" s="105" t="str">
        <f t="shared" si="0"/>
        <v>Yes</v>
      </c>
      <c r="O14" s="106" t="str">
        <f t="shared" si="1"/>
        <v>Budgeted add</v>
      </c>
      <c r="P14" s="83">
        <f>IF($A14="","",IF($F14="Replacement",INDEX(Seats!$V$5:$V$1000,MATCH($G14,Seats!$A$5:$A$1000,0)),IF($N14="Yes",INDEX(Seats!$F$5:$F$1000,MATCH($G14,Seats!$A$5:$A$1000,0)),$J14)))</f>
        <v>75500</v>
      </c>
      <c r="Q14" s="106" t="str">
        <f t="shared" si="2"/>
        <v>Budget pay</v>
      </c>
      <c r="R14" s="107">
        <f t="shared" si="3"/>
        <v>0</v>
      </c>
      <c r="S14" s="108">
        <f>IF($A14="","",1+Assumptions!$B$11+INDEX(Assumptions!$B$12:$B$15,$E14)*Assumptions!$B$16)</f>
        <v>1.35</v>
      </c>
      <c r="T14" s="82">
        <f t="shared" si="4"/>
        <v>101925</v>
      </c>
      <c r="U14" s="109">
        <f>IF($A14="","",IF(YEAR($I14)=Assumptions!$B$7,13-MONTH($I14),0))</f>
        <v>3</v>
      </c>
      <c r="V14" s="82">
        <f t="shared" si="5"/>
        <v>25481.25</v>
      </c>
      <c r="W14" s="83">
        <f>IF($A14="","",IF($N14="Yes",IF(INDEX(Seats!$H$5:$H$1000,MATCH($G14,Seats!$A$5:$A$1000,0))="Fill",INDEX(Seats!$K$5:$K$1000,MATCH($G14,Seats!$A$5:$A$1000,0)),0),0))</f>
        <v>101925</v>
      </c>
      <c r="X14" s="82">
        <f t="shared" si="6"/>
        <v>0</v>
      </c>
      <c r="Y14" s="83">
        <f>IF($A14="","",$X14*Assumptions!$B$30)</f>
        <v>0</v>
      </c>
      <c r="Z14" s="83">
        <f>IF($A14="","",INDEX('Dept Summary'!$M$5:$M$15,MATCH($C14,'Dept Summary'!$A$5:$A$15,0)))</f>
        <v>-9725</v>
      </c>
      <c r="AA14" s="82">
        <f t="shared" si="7"/>
        <v>-9725</v>
      </c>
      <c r="AB14" s="109">
        <f>IF($A14="","",IF($M14="",0,IF(COUNTIFS(Acquisitions!$A$6:$A$10,$M14,Acquisitions!$B$6:$B$10,"Yes")=0,0,IF(INDEX(Acquisitions!$R$6:$R$10,MATCH($M14,Acquisitions!$A$6:$A$10,0))&gt;=0,1,0))))</f>
        <v>0</v>
      </c>
      <c r="AC14" s="109">
        <f>IF($A14="","",IF($AB14=0,0,IF(YEAR($I14)&gt;Assumptions!$B$7+1,0,MAX(0,INDEX(Acquisitions!$C$6:$C$10,MATCH($M14,Acquisitions!$A$6:$A$10,0))-IF(YEAR($I14)=Assumptions!$B$7+1,MONTH($I14),1)))))</f>
        <v>0</v>
      </c>
      <c r="AD14" s="82">
        <f t="shared" si="8"/>
        <v>0</v>
      </c>
      <c r="AE14" s="109">
        <f>IF($A14="","",IF($R14&gt;Assumptions!$B$20,1,0))</f>
        <v>0</v>
      </c>
      <c r="AF14" s="110">
        <f t="shared" si="9"/>
        <v>0</v>
      </c>
      <c r="AG14" s="109">
        <f>IF($A14="","",IF(AND($F14="Net-new",$AB14=0,$X14&gt;0,$AA14&lt;-Assumptions!$B$21*INDEX('Dept Summary'!$K$5:$K$15,MATCH($C14,'Dept Summary'!$A$5:$A$15,0))),1,0))</f>
        <v>0</v>
      </c>
      <c r="AH14" s="110">
        <f t="shared" si="10"/>
        <v>0</v>
      </c>
      <c r="AI14" s="111" t="str">
        <f t="shared" si="11"/>
        <v>None</v>
      </c>
      <c r="AJ14" s="106" t="str">
        <f t="shared" si="12"/>
        <v>Approve</v>
      </c>
      <c r="AK14" s="111" t="str">
        <f t="shared" si="13"/>
        <v>Approve</v>
      </c>
      <c r="AL14" s="112">
        <f>IF(OR($A14="",$L14&lt;&gt;"Pending"),"",MATCH($AJ14,{"Fast-track","Approve","Review","Challenge"},0)*10000+$AM14)</f>
        <v>20214</v>
      </c>
      <c r="AM14" s="112">
        <f>IF(OR($A14="",$L14&lt;&gt;"Pending"),"",IF(($AE14+$AF14+IF(AND($F14="Net-new",$AB14=0,$X14&gt;0,$Z14-$X14&lt;-Assumptions!$B$21*INDEX('Dept Summary'!$K$5:$K$15,MATCH($C14,'Dept Summary'!$A$5:$A$15,0))),1,0))=0,IF($F14="Replacement",1,2),IF(($AE14+$AF14+IF(AND($F14="Net-new",$AB14=0,$X14&gt;0,$Z14-$X14&lt;-Assumptions!$B$21*INDEX('Dept Summary'!$K$5:$K$15,MATCH($C14,'Dept Summary'!$A$5:$A$15,0))),1,0))=1,3,4))*100+ROW())</f>
        <v>214</v>
      </c>
    </row>
    <row r="15" spans="1:39" ht="25.5" customHeight="1" x14ac:dyDescent="0.25">
      <c r="A15" s="76" t="s">
        <v>1017</v>
      </c>
      <c r="B15" s="103">
        <v>46282</v>
      </c>
      <c r="C15" s="76" t="s">
        <v>363</v>
      </c>
      <c r="D15" s="76" t="s">
        <v>592</v>
      </c>
      <c r="E15" s="104">
        <v>1</v>
      </c>
      <c r="F15" s="76" t="s">
        <v>1002</v>
      </c>
      <c r="G15" s="76"/>
      <c r="H15" s="78">
        <v>60000</v>
      </c>
      <c r="I15" s="103">
        <v>46327</v>
      </c>
      <c r="J15" s="78">
        <v>62000</v>
      </c>
      <c r="K15" s="75" t="s">
        <v>1018</v>
      </c>
      <c r="L15" s="76" t="s">
        <v>998</v>
      </c>
      <c r="M15" s="76"/>
      <c r="N15" s="105" t="str">
        <f t="shared" si="0"/>
        <v>No</v>
      </c>
      <c r="O15" s="106" t="str">
        <f t="shared" si="1"/>
        <v>Unbudgeted add</v>
      </c>
      <c r="P15" s="83">
        <f>IF($A15="","",IF($F15="Replacement",INDEX(Seats!$V$5:$V$1000,MATCH($G15,Seats!$A$5:$A$1000,0)),IF($N15="Yes",INDEX(Seats!$F$5:$F$1000,MATCH($G15,Seats!$A$5:$A$1000,0)),$J15)))</f>
        <v>62000</v>
      </c>
      <c r="Q15" s="106" t="str">
        <f t="shared" si="2"/>
        <v>Market midpoint</v>
      </c>
      <c r="R15" s="107">
        <f t="shared" si="3"/>
        <v>-3.2258064516129004E-2</v>
      </c>
      <c r="S15" s="108">
        <f>IF($A15="","",1+Assumptions!$B$11+INDEX(Assumptions!$B$12:$B$15,$E15)*Assumptions!$B$16)</f>
        <v>1.3</v>
      </c>
      <c r="T15" s="82">
        <f t="shared" si="4"/>
        <v>78000</v>
      </c>
      <c r="U15" s="109">
        <f>IF($A15="","",IF(YEAR($I15)=Assumptions!$B$7,13-MONTH($I15),0))</f>
        <v>2</v>
      </c>
      <c r="V15" s="82">
        <f t="shared" si="5"/>
        <v>13000</v>
      </c>
      <c r="W15" s="83">
        <f>IF($A15="","",IF($N15="Yes",IF(INDEX(Seats!$H$5:$H$1000,MATCH($G15,Seats!$A$5:$A$1000,0))="Fill",INDEX(Seats!$K$5:$K$1000,MATCH($G15,Seats!$A$5:$A$1000,0)),0),0))</f>
        <v>0</v>
      </c>
      <c r="X15" s="82">
        <f t="shared" si="6"/>
        <v>78000</v>
      </c>
      <c r="Y15" s="83">
        <f>IF($A15="","",$X15*Assumptions!$B$30)</f>
        <v>80340</v>
      </c>
      <c r="Z15" s="83">
        <f>IF($A15="","",INDEX('Dept Summary'!$M$5:$M$15,MATCH($C15,'Dept Summary'!$A$5:$A$15,0)))</f>
        <v>90375</v>
      </c>
      <c r="AA15" s="82">
        <f t="shared" si="7"/>
        <v>12375</v>
      </c>
      <c r="AB15" s="109">
        <f>IF($A15="","",IF($M15="",0,IF(COUNTIFS(Acquisitions!$A$6:$A$10,$M15,Acquisitions!$B$6:$B$10,"Yes")=0,0,IF(INDEX(Acquisitions!$R$6:$R$10,MATCH($M15,Acquisitions!$A$6:$A$10,0))&gt;=0,1,0))))</f>
        <v>0</v>
      </c>
      <c r="AC15" s="109">
        <f>IF($A15="","",IF($AB15=0,0,IF(YEAR($I15)&gt;Assumptions!$B$7+1,0,MAX(0,INDEX(Acquisitions!$C$6:$C$10,MATCH($M15,Acquisitions!$A$6:$A$10,0))-IF(YEAR($I15)=Assumptions!$B$7+1,MONTH($I15),1)))))</f>
        <v>0</v>
      </c>
      <c r="AD15" s="82">
        <f t="shared" si="8"/>
        <v>0</v>
      </c>
      <c r="AE15" s="109">
        <f>IF($A15="","",IF($R15&gt;Assumptions!$B$20,1,0))</f>
        <v>0</v>
      </c>
      <c r="AF15" s="110">
        <f t="shared" si="9"/>
        <v>1</v>
      </c>
      <c r="AG15" s="109">
        <f>IF($A15="","",IF(AND($F15="Net-new",$AB15=0,$X15&gt;0,$AA15&lt;-Assumptions!$B$21*INDEX('Dept Summary'!$K$5:$K$15,MATCH($C15,'Dept Summary'!$A$5:$A$15,0))),1,0))</f>
        <v>0</v>
      </c>
      <c r="AH15" s="110">
        <f t="shared" si="10"/>
        <v>1</v>
      </c>
      <c r="AI15" s="111" t="str">
        <f t="shared" si="11"/>
        <v>Not in FY26 budget</v>
      </c>
      <c r="AJ15" s="106" t="str">
        <f t="shared" si="12"/>
        <v>Review</v>
      </c>
      <c r="AK15" s="111" t="str">
        <f t="shared" si="13"/>
        <v>Discuss the one flag</v>
      </c>
      <c r="AL15" s="112">
        <f>IF(OR($A15="",$L15&lt;&gt;"Pending"),"",MATCH($AJ15,{"Fast-track","Approve","Review","Challenge"},0)*10000+$AM15)</f>
        <v>30315</v>
      </c>
      <c r="AM15" s="112">
        <f>IF(OR($A15="",$L15&lt;&gt;"Pending"),"",IF(($AE15+$AF15+IF(AND($F15="Net-new",$AB15=0,$X15&gt;0,$Z15-$X15&lt;-Assumptions!$B$21*INDEX('Dept Summary'!$K$5:$K$15,MATCH($C15,'Dept Summary'!$A$5:$A$15,0))),1,0))=0,IF($F15="Replacement",1,2),IF(($AE15+$AF15+IF(AND($F15="Net-new",$AB15=0,$X15&gt;0,$Z15-$X15&lt;-Assumptions!$B$21*INDEX('Dept Summary'!$K$5:$K$15,MATCH($C15,'Dept Summary'!$A$5:$A$15,0))),1,0))=1,3,4))*100+ROW())</f>
        <v>315</v>
      </c>
    </row>
    <row r="16" spans="1:39" x14ac:dyDescent="0.25">
      <c r="A16" s="76" t="s">
        <v>1019</v>
      </c>
      <c r="B16" s="103">
        <v>46279</v>
      </c>
      <c r="C16" s="76" t="s">
        <v>361</v>
      </c>
      <c r="D16" s="76" t="s">
        <v>776</v>
      </c>
      <c r="E16" s="104">
        <v>3</v>
      </c>
      <c r="F16" s="76" t="s">
        <v>996</v>
      </c>
      <c r="G16" s="76" t="s">
        <v>782</v>
      </c>
      <c r="H16" s="78">
        <v>124000</v>
      </c>
      <c r="I16" s="103">
        <v>46296</v>
      </c>
      <c r="J16" s="78"/>
      <c r="K16" s="75" t="s">
        <v>997</v>
      </c>
      <c r="L16" s="76" t="s">
        <v>998</v>
      </c>
      <c r="M16" s="76"/>
      <c r="N16" s="105" t="str">
        <f t="shared" si="0"/>
        <v>Yes</v>
      </c>
      <c r="O16" s="106" t="str">
        <f t="shared" si="1"/>
        <v>Backfill</v>
      </c>
      <c r="P16" s="83">
        <f>IF($A16="","",IF($F16="Replacement",INDEX(Seats!$V$5:$V$1000,MATCH($G16,Seats!$A$5:$A$1000,0)),IF($N16="Yes",INDEX(Seats!$F$5:$F$1000,MATCH($G16,Seats!$A$5:$A$1000,0)),$J16)))</f>
        <v>121800</v>
      </c>
      <c r="Q16" s="106" t="str">
        <f t="shared" si="2"/>
        <v>Last person's pay</v>
      </c>
      <c r="R16" s="107">
        <f t="shared" si="3"/>
        <v>1.8062397372742289E-2</v>
      </c>
      <c r="S16" s="108">
        <f>IF($A16="","",1+Assumptions!$B$11+INDEX(Assumptions!$B$12:$B$15,$E16)*Assumptions!$B$16)</f>
        <v>1.4</v>
      </c>
      <c r="T16" s="82">
        <f t="shared" si="4"/>
        <v>173600</v>
      </c>
      <c r="U16" s="109">
        <f>IF($A16="","",IF(YEAR($I16)=Assumptions!$B$7,13-MONTH($I16),0))</f>
        <v>3</v>
      </c>
      <c r="V16" s="82">
        <f t="shared" si="5"/>
        <v>43400</v>
      </c>
      <c r="W16" s="83">
        <f>IF($A16="","",IF($N16="Yes",IF(INDEX(Seats!$H$5:$H$1000,MATCH($G16,Seats!$A$5:$A$1000,0))="Fill",INDEX(Seats!$K$5:$K$1000,MATCH($G16,Seats!$A$5:$A$1000,0)),0),0))</f>
        <v>168000</v>
      </c>
      <c r="X16" s="82">
        <f t="shared" si="6"/>
        <v>5600</v>
      </c>
      <c r="Y16" s="83">
        <f>IF($A16="","",$X16*Assumptions!$B$30)</f>
        <v>5768</v>
      </c>
      <c r="Z16" s="83">
        <f>IF($A16="","",INDEX('Dept Summary'!$M$5:$M$15,MATCH($C16,'Dept Summary'!$A$5:$A$15,0)))</f>
        <v>-6820</v>
      </c>
      <c r="AA16" s="82">
        <f t="shared" si="7"/>
        <v>-12420</v>
      </c>
      <c r="AB16" s="109">
        <f>IF($A16="","",IF($M16="",0,IF(COUNTIFS(Acquisitions!$A$6:$A$10,$M16,Acquisitions!$B$6:$B$10,"Yes")=0,0,IF(INDEX(Acquisitions!$R$6:$R$10,MATCH($M16,Acquisitions!$A$6:$A$10,0))&gt;=0,1,0))))</f>
        <v>0</v>
      </c>
      <c r="AC16" s="109">
        <f>IF($A16="","",IF($AB16=0,0,IF(YEAR($I16)&gt;Assumptions!$B$7+1,0,MAX(0,INDEX(Acquisitions!$C$6:$C$10,MATCH($M16,Acquisitions!$A$6:$A$10,0))-IF(YEAR($I16)=Assumptions!$B$7+1,MONTH($I16),1)))))</f>
        <v>0</v>
      </c>
      <c r="AD16" s="82">
        <f t="shared" si="8"/>
        <v>0</v>
      </c>
      <c r="AE16" s="109">
        <f>IF($A16="","",IF($R16&gt;Assumptions!$B$20,1,0))</f>
        <v>0</v>
      </c>
      <c r="AF16" s="110">
        <f t="shared" si="9"/>
        <v>0</v>
      </c>
      <c r="AG16" s="109">
        <f>IF($A16="","",IF(AND($F16="Net-new",$AB16=0,$X16&gt;0,$AA16&lt;-Assumptions!$B$21*INDEX('Dept Summary'!$K$5:$K$15,MATCH($C16,'Dept Summary'!$A$5:$A$15,0))),1,0))</f>
        <v>0</v>
      </c>
      <c r="AH16" s="110">
        <f t="shared" si="10"/>
        <v>0</v>
      </c>
      <c r="AI16" s="111" t="str">
        <f t="shared" si="11"/>
        <v>None</v>
      </c>
      <c r="AJ16" s="106" t="str">
        <f t="shared" si="12"/>
        <v>Fast-track</v>
      </c>
      <c r="AK16" s="111" t="str">
        <f t="shared" si="13"/>
        <v>Approve on consent</v>
      </c>
      <c r="AL16" s="112">
        <f>IF(OR($A16="",$L16&lt;&gt;"Pending"),"",MATCH($AJ16,{"Fast-track","Approve","Review","Challenge"},0)*10000+$AM16)</f>
        <v>10116</v>
      </c>
      <c r="AM16" s="112">
        <f>IF(OR($A16="",$L16&lt;&gt;"Pending"),"",IF(($AE16+$AF16+IF(AND($F16="Net-new",$AB16=0,$X16&gt;0,$Z16-$X16&lt;-Assumptions!$B$21*INDEX('Dept Summary'!$K$5:$K$15,MATCH($C16,'Dept Summary'!$A$5:$A$15,0))),1,0))=0,IF($F16="Replacement",1,2),IF(($AE16+$AF16+IF(AND($F16="Net-new",$AB16=0,$X16&gt;0,$Z16-$X16&lt;-Assumptions!$B$21*INDEX('Dept Summary'!$K$5:$K$15,MATCH($C16,'Dept Summary'!$A$5:$A$15,0))),1,0))=1,3,4))*100+ROW())</f>
        <v>116</v>
      </c>
    </row>
    <row r="17" spans="1:39" ht="25.5" customHeight="1" x14ac:dyDescent="0.25">
      <c r="A17" s="76" t="s">
        <v>1020</v>
      </c>
      <c r="B17" s="103">
        <v>46282</v>
      </c>
      <c r="C17" s="76" t="s">
        <v>359</v>
      </c>
      <c r="D17" s="76" t="s">
        <v>828</v>
      </c>
      <c r="E17" s="104">
        <v>3</v>
      </c>
      <c r="F17" s="76" t="s">
        <v>1002</v>
      </c>
      <c r="G17" s="76" t="s">
        <v>900</v>
      </c>
      <c r="H17" s="78">
        <v>133500</v>
      </c>
      <c r="I17" s="103">
        <v>46357</v>
      </c>
      <c r="J17" s="78"/>
      <c r="K17" s="75" t="s">
        <v>1021</v>
      </c>
      <c r="L17" s="76" t="s">
        <v>998</v>
      </c>
      <c r="M17" s="76"/>
      <c r="N17" s="105" t="str">
        <f t="shared" si="0"/>
        <v>Yes</v>
      </c>
      <c r="O17" s="106" t="str">
        <f t="shared" si="1"/>
        <v>Budgeted add</v>
      </c>
      <c r="P17" s="83">
        <f>IF($A17="","",IF($F17="Replacement",INDEX(Seats!$V$5:$V$1000,MATCH($G17,Seats!$A$5:$A$1000,0)),IF($N17="Yes",INDEX(Seats!$F$5:$F$1000,MATCH($G17,Seats!$A$5:$A$1000,0)),$J17)))</f>
        <v>129500</v>
      </c>
      <c r="Q17" s="106" t="str">
        <f t="shared" si="2"/>
        <v>Budget pay</v>
      </c>
      <c r="R17" s="107">
        <f t="shared" si="3"/>
        <v>3.0888030888030826E-2</v>
      </c>
      <c r="S17" s="108">
        <f>IF($A17="","",1+Assumptions!$B$11+INDEX(Assumptions!$B$12:$B$15,$E17)*Assumptions!$B$16)</f>
        <v>1.4</v>
      </c>
      <c r="T17" s="82">
        <f t="shared" si="4"/>
        <v>186900</v>
      </c>
      <c r="U17" s="109">
        <f>IF($A17="","",IF(YEAR($I17)=Assumptions!$B$7,13-MONTH($I17),0))</f>
        <v>1</v>
      </c>
      <c r="V17" s="82">
        <f t="shared" si="5"/>
        <v>15575</v>
      </c>
      <c r="W17" s="83">
        <f>IF($A17="","",IF($N17="Yes",IF(INDEX(Seats!$H$5:$H$1000,MATCH($G17,Seats!$A$5:$A$1000,0))="Fill",INDEX(Seats!$K$5:$K$1000,MATCH($G17,Seats!$A$5:$A$1000,0)),0),0))</f>
        <v>181300</v>
      </c>
      <c r="X17" s="82">
        <f t="shared" si="6"/>
        <v>5600</v>
      </c>
      <c r="Y17" s="83">
        <f>IF($A17="","",$X17*Assumptions!$B$30)</f>
        <v>5768</v>
      </c>
      <c r="Z17" s="83">
        <f>IF($A17="","",INDEX('Dept Summary'!$M$5:$M$15,MATCH($C17,'Dept Summary'!$A$5:$A$15,0)))</f>
        <v>-12420</v>
      </c>
      <c r="AA17" s="82">
        <f t="shared" si="7"/>
        <v>-18020</v>
      </c>
      <c r="AB17" s="109">
        <f>IF($A17="","",IF($M17="",0,IF(COUNTIFS(Acquisitions!$A$6:$A$10,$M17,Acquisitions!$B$6:$B$10,"Yes")=0,0,IF(INDEX(Acquisitions!$R$6:$R$10,MATCH($M17,Acquisitions!$A$6:$A$10,0))&gt;=0,1,0))))</f>
        <v>0</v>
      </c>
      <c r="AC17" s="109">
        <f>IF($A17="","",IF($AB17=0,0,IF(YEAR($I17)&gt;Assumptions!$B$7+1,0,MAX(0,INDEX(Acquisitions!$C$6:$C$10,MATCH($M17,Acquisitions!$A$6:$A$10,0))-IF(YEAR($I17)=Assumptions!$B$7+1,MONTH($I17),1)))))</f>
        <v>0</v>
      </c>
      <c r="AD17" s="82">
        <f t="shared" si="8"/>
        <v>0</v>
      </c>
      <c r="AE17" s="109">
        <f>IF($A17="","",IF($R17&gt;Assumptions!$B$20,1,0))</f>
        <v>0</v>
      </c>
      <c r="AF17" s="110">
        <f t="shared" si="9"/>
        <v>0</v>
      </c>
      <c r="AG17" s="109">
        <f>IF($A17="","",IF(AND($F17="Net-new",$AB17=0,$X17&gt;0,$AA17&lt;-Assumptions!$B$21*INDEX('Dept Summary'!$K$5:$K$15,MATCH($C17,'Dept Summary'!$A$5:$A$15,0))),1,0))</f>
        <v>0</v>
      </c>
      <c r="AH17" s="110">
        <f t="shared" si="10"/>
        <v>0</v>
      </c>
      <c r="AI17" s="111" t="str">
        <f t="shared" si="11"/>
        <v>None</v>
      </c>
      <c r="AJ17" s="106" t="str">
        <f t="shared" si="12"/>
        <v>Approve</v>
      </c>
      <c r="AK17" s="111" t="str">
        <f t="shared" si="13"/>
        <v>Approve</v>
      </c>
      <c r="AL17" s="112">
        <f>IF(OR($A17="",$L17&lt;&gt;"Pending"),"",MATCH($AJ17,{"Fast-track","Approve","Review","Challenge"},0)*10000+$AM17)</f>
        <v>20217</v>
      </c>
      <c r="AM17" s="112">
        <f>IF(OR($A17="",$L17&lt;&gt;"Pending"),"",IF(($AE17+$AF17+IF(AND($F17="Net-new",$AB17=0,$X17&gt;0,$Z17-$X17&lt;-Assumptions!$B$21*INDEX('Dept Summary'!$K$5:$K$15,MATCH($C17,'Dept Summary'!$A$5:$A$15,0))),1,0))=0,IF($F17="Replacement",1,2),IF(($AE17+$AF17+IF(AND($F17="Net-new",$AB17=0,$X17&gt;0,$Z17-$X17&lt;-Assumptions!$B$21*INDEX('Dept Summary'!$K$5:$K$15,MATCH($C17,'Dept Summary'!$A$5:$A$15,0))),1,0))=1,3,4))*100+ROW())</f>
        <v>217</v>
      </c>
    </row>
    <row r="18" spans="1:39" x14ac:dyDescent="0.25">
      <c r="A18" s="76"/>
      <c r="B18" s="103"/>
      <c r="C18" s="76"/>
      <c r="D18" s="76"/>
      <c r="E18" s="104"/>
      <c r="F18" s="76"/>
      <c r="G18" s="76"/>
      <c r="H18" s="78"/>
      <c r="I18" s="103"/>
      <c r="J18" s="78"/>
      <c r="K18" s="75"/>
      <c r="L18" s="76"/>
      <c r="M18" s="76"/>
      <c r="N18" s="105" t="str">
        <f t="shared" si="0"/>
        <v/>
      </c>
      <c r="O18" s="106" t="str">
        <f t="shared" si="1"/>
        <v/>
      </c>
      <c r="P18" s="83" t="str">
        <f>IF($A18="","",IF($F18="Replacement",INDEX(Seats!$V$5:$V$1000,MATCH($G18,Seats!$A$5:$A$1000,0)),IF($N18="Yes",INDEX(Seats!$F$5:$F$1000,MATCH($G18,Seats!$A$5:$A$1000,0)),$J18)))</f>
        <v/>
      </c>
      <c r="Q18" s="106" t="str">
        <f t="shared" si="2"/>
        <v/>
      </c>
      <c r="R18" s="107" t="str">
        <f t="shared" si="3"/>
        <v/>
      </c>
      <c r="S18" s="108" t="str">
        <f>IF($A18="","",1+Assumptions!$B$11+INDEX(Assumptions!$B$12:$B$15,$E18)*Assumptions!$B$16)</f>
        <v/>
      </c>
      <c r="T18" s="82" t="str">
        <f t="shared" si="4"/>
        <v/>
      </c>
      <c r="U18" s="109" t="str">
        <f>IF($A18="","",IF(YEAR($I18)=Assumptions!$B$7,13-MONTH($I18),0))</f>
        <v/>
      </c>
      <c r="V18" s="82" t="str">
        <f t="shared" si="5"/>
        <v/>
      </c>
      <c r="W18" s="83" t="str">
        <f>IF($A18="","",IF($N18="Yes",IF(INDEX(Seats!$H$5:$H$1000,MATCH($G18,Seats!$A$5:$A$1000,0))="Fill",INDEX(Seats!$K$5:$K$1000,MATCH($G18,Seats!$A$5:$A$1000,0)),0),0))</f>
        <v/>
      </c>
      <c r="X18" s="82" t="str">
        <f t="shared" si="6"/>
        <v/>
      </c>
      <c r="Y18" s="83" t="str">
        <f>IF($A18="","",$X18*Assumptions!$B$30)</f>
        <v/>
      </c>
      <c r="Z18" s="83" t="str">
        <f>IF($A18="","",INDEX('Dept Summary'!$M$5:$M$15,MATCH($C18,'Dept Summary'!$A$5:$A$15,0)))</f>
        <v/>
      </c>
      <c r="AA18" s="82" t="str">
        <f t="shared" si="7"/>
        <v/>
      </c>
      <c r="AB18" s="109" t="str">
        <f>IF($A18="","",IF($M18="",0,IF(COUNTIFS(Acquisitions!$A$6:$A$10,$M18,Acquisitions!$B$6:$B$10,"Yes")=0,0,IF(INDEX(Acquisitions!$R$6:$R$10,MATCH($M18,Acquisitions!$A$6:$A$10,0))&gt;=0,1,0))))</f>
        <v/>
      </c>
      <c r="AC18" s="109" t="str">
        <f>IF($A18="","",IF($AB18=0,0,IF(YEAR($I18)&gt;Assumptions!$B$7+1,0,MAX(0,INDEX(Acquisitions!$C$6:$C$10,MATCH($M18,Acquisitions!$A$6:$A$10,0))-IF(YEAR($I18)=Assumptions!$B$7+1,MONTH($I18),1)))))</f>
        <v/>
      </c>
      <c r="AD18" s="82" t="str">
        <f t="shared" si="8"/>
        <v/>
      </c>
      <c r="AE18" s="109" t="str">
        <f>IF($A18="","",IF($R18&gt;Assumptions!$B$20,1,0))</f>
        <v/>
      </c>
      <c r="AF18" s="110" t="str">
        <f t="shared" si="9"/>
        <v/>
      </c>
      <c r="AG18" s="109" t="str">
        <f>IF($A18="","",IF(AND($F18="Net-new",$AB18=0,$X18&gt;0,$AA18&lt;-Assumptions!$B$21*INDEX('Dept Summary'!$K$5:$K$15,MATCH($C18,'Dept Summary'!$A$5:$A$15,0))),1,0))</f>
        <v/>
      </c>
      <c r="AH18" s="110" t="str">
        <f t="shared" si="10"/>
        <v/>
      </c>
      <c r="AI18" s="111" t="str">
        <f t="shared" si="11"/>
        <v/>
      </c>
      <c r="AJ18" s="106" t="str">
        <f t="shared" si="12"/>
        <v/>
      </c>
      <c r="AK18" s="111" t="str">
        <f t="shared" si="13"/>
        <v/>
      </c>
      <c r="AL18" s="112" t="str">
        <f>IF(OR($A18="",$L18&lt;&gt;"Pending"),"",MATCH($AJ18,{"Fast-track","Approve","Review","Challenge"},0)*10000+$AM18)</f>
        <v/>
      </c>
      <c r="AM18" s="112" t="str">
        <f>IF(OR($A18="",$L18&lt;&gt;"Pending"),"",IF(($AE18+$AF18+IF(AND($F18="Net-new",$AB18=0,$X18&gt;0,$Z18-$X18&lt;-Assumptions!$B$21*INDEX('Dept Summary'!$K$5:$K$15,MATCH($C18,'Dept Summary'!$A$5:$A$15,0))),1,0))=0,IF($F18="Replacement",1,2),IF(($AE18+$AF18+IF(AND($F18="Net-new",$AB18=0,$X18&gt;0,$Z18-$X18&lt;-Assumptions!$B$21*INDEX('Dept Summary'!$K$5:$K$15,MATCH($C18,'Dept Summary'!$A$5:$A$15,0))),1,0))=1,3,4))*100+ROW())</f>
        <v/>
      </c>
    </row>
    <row r="19" spans="1:39" x14ac:dyDescent="0.25">
      <c r="A19" s="76"/>
      <c r="B19" s="103"/>
      <c r="C19" s="76"/>
      <c r="D19" s="76"/>
      <c r="E19" s="104"/>
      <c r="F19" s="76"/>
      <c r="G19" s="76"/>
      <c r="H19" s="78"/>
      <c r="I19" s="103"/>
      <c r="J19" s="78"/>
      <c r="K19" s="75"/>
      <c r="L19" s="76"/>
      <c r="M19" s="76"/>
      <c r="N19" s="105" t="str">
        <f t="shared" si="0"/>
        <v/>
      </c>
      <c r="O19" s="106" t="str">
        <f t="shared" si="1"/>
        <v/>
      </c>
      <c r="P19" s="83" t="str">
        <f>IF($A19="","",IF($F19="Replacement",INDEX(Seats!$V$5:$V$1000,MATCH($G19,Seats!$A$5:$A$1000,0)),IF($N19="Yes",INDEX(Seats!$F$5:$F$1000,MATCH($G19,Seats!$A$5:$A$1000,0)),$J19)))</f>
        <v/>
      </c>
      <c r="Q19" s="106" t="str">
        <f t="shared" si="2"/>
        <v/>
      </c>
      <c r="R19" s="107" t="str">
        <f t="shared" si="3"/>
        <v/>
      </c>
      <c r="S19" s="108" t="str">
        <f>IF($A19="","",1+Assumptions!$B$11+INDEX(Assumptions!$B$12:$B$15,$E19)*Assumptions!$B$16)</f>
        <v/>
      </c>
      <c r="T19" s="82" t="str">
        <f t="shared" si="4"/>
        <v/>
      </c>
      <c r="U19" s="109" t="str">
        <f>IF($A19="","",IF(YEAR($I19)=Assumptions!$B$7,13-MONTH($I19),0))</f>
        <v/>
      </c>
      <c r="V19" s="82" t="str">
        <f t="shared" si="5"/>
        <v/>
      </c>
      <c r="W19" s="83" t="str">
        <f>IF($A19="","",IF($N19="Yes",IF(INDEX(Seats!$H$5:$H$1000,MATCH($G19,Seats!$A$5:$A$1000,0))="Fill",INDEX(Seats!$K$5:$K$1000,MATCH($G19,Seats!$A$5:$A$1000,0)),0),0))</f>
        <v/>
      </c>
      <c r="X19" s="82" t="str">
        <f t="shared" si="6"/>
        <v/>
      </c>
      <c r="Y19" s="83" t="str">
        <f>IF($A19="","",$X19*Assumptions!$B$30)</f>
        <v/>
      </c>
      <c r="Z19" s="83" t="str">
        <f>IF($A19="","",INDEX('Dept Summary'!$M$5:$M$15,MATCH($C19,'Dept Summary'!$A$5:$A$15,0)))</f>
        <v/>
      </c>
      <c r="AA19" s="82" t="str">
        <f t="shared" si="7"/>
        <v/>
      </c>
      <c r="AB19" s="109" t="str">
        <f>IF($A19="","",IF($M19="",0,IF(COUNTIFS(Acquisitions!$A$6:$A$10,$M19,Acquisitions!$B$6:$B$10,"Yes")=0,0,IF(INDEX(Acquisitions!$R$6:$R$10,MATCH($M19,Acquisitions!$A$6:$A$10,0))&gt;=0,1,0))))</f>
        <v/>
      </c>
      <c r="AC19" s="109" t="str">
        <f>IF($A19="","",IF($AB19=0,0,IF(YEAR($I19)&gt;Assumptions!$B$7+1,0,MAX(0,INDEX(Acquisitions!$C$6:$C$10,MATCH($M19,Acquisitions!$A$6:$A$10,0))-IF(YEAR($I19)=Assumptions!$B$7+1,MONTH($I19),1)))))</f>
        <v/>
      </c>
      <c r="AD19" s="82" t="str">
        <f t="shared" si="8"/>
        <v/>
      </c>
      <c r="AE19" s="109" t="str">
        <f>IF($A19="","",IF($R19&gt;Assumptions!$B$20,1,0))</f>
        <v/>
      </c>
      <c r="AF19" s="110" t="str">
        <f t="shared" si="9"/>
        <v/>
      </c>
      <c r="AG19" s="109" t="str">
        <f>IF($A19="","",IF(AND($F19="Net-new",$AB19=0,$X19&gt;0,$AA19&lt;-Assumptions!$B$21*INDEX('Dept Summary'!$K$5:$K$15,MATCH($C19,'Dept Summary'!$A$5:$A$15,0))),1,0))</f>
        <v/>
      </c>
      <c r="AH19" s="110" t="str">
        <f t="shared" si="10"/>
        <v/>
      </c>
      <c r="AI19" s="111" t="str">
        <f t="shared" si="11"/>
        <v/>
      </c>
      <c r="AJ19" s="106" t="str">
        <f t="shared" si="12"/>
        <v/>
      </c>
      <c r="AK19" s="111" t="str">
        <f t="shared" si="13"/>
        <v/>
      </c>
      <c r="AL19" s="112" t="str">
        <f>IF(OR($A19="",$L19&lt;&gt;"Pending"),"",MATCH($AJ19,{"Fast-track","Approve","Review","Challenge"},0)*10000+$AM19)</f>
        <v/>
      </c>
      <c r="AM19" s="112" t="str">
        <f>IF(OR($A19="",$L19&lt;&gt;"Pending"),"",IF(($AE19+$AF19+IF(AND($F19="Net-new",$AB19=0,$X19&gt;0,$Z19-$X19&lt;-Assumptions!$B$21*INDEX('Dept Summary'!$K$5:$K$15,MATCH($C19,'Dept Summary'!$A$5:$A$15,0))),1,0))=0,IF($F19="Replacement",1,2),IF(($AE19+$AF19+IF(AND($F19="Net-new",$AB19=0,$X19&gt;0,$Z19-$X19&lt;-Assumptions!$B$21*INDEX('Dept Summary'!$K$5:$K$15,MATCH($C19,'Dept Summary'!$A$5:$A$15,0))),1,0))=1,3,4))*100+ROW())</f>
        <v/>
      </c>
    </row>
    <row r="20" spans="1:39" x14ac:dyDescent="0.25">
      <c r="A20" s="76"/>
      <c r="B20" s="103"/>
      <c r="C20" s="76"/>
      <c r="D20" s="76"/>
      <c r="E20" s="104"/>
      <c r="F20" s="76"/>
      <c r="G20" s="76"/>
      <c r="H20" s="78"/>
      <c r="I20" s="103"/>
      <c r="J20" s="78"/>
      <c r="K20" s="75"/>
      <c r="L20" s="76"/>
      <c r="M20" s="76"/>
      <c r="N20" s="105" t="str">
        <f t="shared" si="0"/>
        <v/>
      </c>
      <c r="O20" s="106" t="str">
        <f t="shared" si="1"/>
        <v/>
      </c>
      <c r="P20" s="83" t="str">
        <f>IF($A20="","",IF($F20="Replacement",INDEX(Seats!$V$5:$V$1000,MATCH($G20,Seats!$A$5:$A$1000,0)),IF($N20="Yes",INDEX(Seats!$F$5:$F$1000,MATCH($G20,Seats!$A$5:$A$1000,0)),$J20)))</f>
        <v/>
      </c>
      <c r="Q20" s="106" t="str">
        <f t="shared" si="2"/>
        <v/>
      </c>
      <c r="R20" s="107" t="str">
        <f t="shared" si="3"/>
        <v/>
      </c>
      <c r="S20" s="108" t="str">
        <f>IF($A20="","",1+Assumptions!$B$11+INDEX(Assumptions!$B$12:$B$15,$E20)*Assumptions!$B$16)</f>
        <v/>
      </c>
      <c r="T20" s="82" t="str">
        <f t="shared" si="4"/>
        <v/>
      </c>
      <c r="U20" s="109" t="str">
        <f>IF($A20="","",IF(YEAR($I20)=Assumptions!$B$7,13-MONTH($I20),0))</f>
        <v/>
      </c>
      <c r="V20" s="82" t="str">
        <f t="shared" si="5"/>
        <v/>
      </c>
      <c r="W20" s="83" t="str">
        <f>IF($A20="","",IF($N20="Yes",IF(INDEX(Seats!$H$5:$H$1000,MATCH($G20,Seats!$A$5:$A$1000,0))="Fill",INDEX(Seats!$K$5:$K$1000,MATCH($G20,Seats!$A$5:$A$1000,0)),0),0))</f>
        <v/>
      </c>
      <c r="X20" s="82" t="str">
        <f t="shared" si="6"/>
        <v/>
      </c>
      <c r="Y20" s="83" t="str">
        <f>IF($A20="","",$X20*Assumptions!$B$30)</f>
        <v/>
      </c>
      <c r="Z20" s="83" t="str">
        <f>IF($A20="","",INDEX('Dept Summary'!$M$5:$M$15,MATCH($C20,'Dept Summary'!$A$5:$A$15,0)))</f>
        <v/>
      </c>
      <c r="AA20" s="82" t="str">
        <f t="shared" si="7"/>
        <v/>
      </c>
      <c r="AB20" s="109" t="str">
        <f>IF($A20="","",IF($M20="",0,IF(COUNTIFS(Acquisitions!$A$6:$A$10,$M20,Acquisitions!$B$6:$B$10,"Yes")=0,0,IF(INDEX(Acquisitions!$R$6:$R$10,MATCH($M20,Acquisitions!$A$6:$A$10,0))&gt;=0,1,0))))</f>
        <v/>
      </c>
      <c r="AC20" s="109" t="str">
        <f>IF($A20="","",IF($AB20=0,0,IF(YEAR($I20)&gt;Assumptions!$B$7+1,0,MAX(0,INDEX(Acquisitions!$C$6:$C$10,MATCH($M20,Acquisitions!$A$6:$A$10,0))-IF(YEAR($I20)=Assumptions!$B$7+1,MONTH($I20),1)))))</f>
        <v/>
      </c>
      <c r="AD20" s="82" t="str">
        <f t="shared" si="8"/>
        <v/>
      </c>
      <c r="AE20" s="109" t="str">
        <f>IF($A20="","",IF($R20&gt;Assumptions!$B$20,1,0))</f>
        <v/>
      </c>
      <c r="AF20" s="110" t="str">
        <f t="shared" si="9"/>
        <v/>
      </c>
      <c r="AG20" s="109" t="str">
        <f>IF($A20="","",IF(AND($F20="Net-new",$AB20=0,$X20&gt;0,$AA20&lt;-Assumptions!$B$21*INDEX('Dept Summary'!$K$5:$K$15,MATCH($C20,'Dept Summary'!$A$5:$A$15,0))),1,0))</f>
        <v/>
      </c>
      <c r="AH20" s="110" t="str">
        <f t="shared" si="10"/>
        <v/>
      </c>
      <c r="AI20" s="111" t="str">
        <f t="shared" si="11"/>
        <v/>
      </c>
      <c r="AJ20" s="106" t="str">
        <f t="shared" si="12"/>
        <v/>
      </c>
      <c r="AK20" s="111" t="str">
        <f t="shared" si="13"/>
        <v/>
      </c>
      <c r="AL20" s="112" t="str">
        <f>IF(OR($A20="",$L20&lt;&gt;"Pending"),"",MATCH($AJ20,{"Fast-track","Approve","Review","Challenge"},0)*10000+$AM20)</f>
        <v/>
      </c>
      <c r="AM20" s="112" t="str">
        <f>IF(OR($A20="",$L20&lt;&gt;"Pending"),"",IF(($AE20+$AF20+IF(AND($F20="Net-new",$AB20=0,$X20&gt;0,$Z20-$X20&lt;-Assumptions!$B$21*INDEX('Dept Summary'!$K$5:$K$15,MATCH($C20,'Dept Summary'!$A$5:$A$15,0))),1,0))=0,IF($F20="Replacement",1,2),IF(($AE20+$AF20+IF(AND($F20="Net-new",$AB20=0,$X20&gt;0,$Z20-$X20&lt;-Assumptions!$B$21*INDEX('Dept Summary'!$K$5:$K$15,MATCH($C20,'Dept Summary'!$A$5:$A$15,0))),1,0))=1,3,4))*100+ROW())</f>
        <v/>
      </c>
    </row>
  </sheetData>
  <conditionalFormatting sqref="AJ6:AJ20">
    <cfRule type="expression" dxfId="3" priority="2">
      <formula>$AJ6="Fast-track"</formula>
    </cfRule>
    <cfRule type="expression" dxfId="2" priority="3">
      <formula>$AJ6="Approve"</formula>
    </cfRule>
    <cfRule type="expression" dxfId="1" priority="4">
      <formula>$AJ6="Review"</formula>
    </cfRule>
    <cfRule type="expression" dxfId="0" priority="5">
      <formula>$AJ6="Challenge"</formula>
    </cfRule>
  </conditionalFormatting>
  <dataValidations count="3">
    <dataValidation type="list" allowBlank="1" sqref="F6:F20" xr:uid="{00000000-0002-0000-0600-000000000000}">
      <formula1>"Replacement,Net-new"</formula1>
      <formula2>0</formula2>
    </dataValidation>
    <dataValidation type="list" allowBlank="1" sqref="L6:L20" xr:uid="{00000000-0002-0000-0600-000002000000}">
      <formula1>"Pending,Approved,Declined,Started"</formula1>
      <formula2>0</formula2>
    </dataValidation>
    <dataValidation type="list" allowBlank="1" sqref="E6:E20" xr:uid="{00000000-0002-0000-0600-000003000000}">
      <formula1>"1,2,3,4"</formula1>
      <formula2>0</formula2>
    </dataValidation>
  </dataValidations>
  <pageMargins left="0.75" right="0.75" top="1" bottom="1" header="0.511811023622047" footer="0.511811023622047"/>
  <pageSetup fitToHeight="0" orientation="landscape" horizontalDpi="300" verticalDpi="300"/>
  <extLst>
    <ext xmlns:x14="http://schemas.microsoft.com/office/spreadsheetml/2009/9/main" uri="{78C0D931-6437-407d-A8EE-F0AAD7539E65}">
      <x14:conditionalFormattings>
        <x14:conditionalFormatting xmlns:xm="http://schemas.microsoft.com/office/excel/2006/main">
          <x14:cfRule type="iconSet" priority="502" id="{029C7843-C07A-4D99-B542-A84F3760EF8E}">
            <x14:iconSet iconSet="3Triangles" custom="1">
              <x14:cfvo type="percent">
                <xm:f>0</xm:f>
              </x14:cfvo>
              <x14:cfvo type="num">
                <xm:f>0</xm:f>
              </x14:cfvo>
              <x14:cfvo type="num" gte="0">
                <xm:f>0</xm:f>
              </x14:cfvo>
              <x14:cfIcon iconSet="3Triangles" iconId="0"/>
              <x14:cfIcon iconSet="NoIcons" iconId="0"/>
              <x14:cfIcon iconSet="3Triangles" iconId="2"/>
            </x14:iconSet>
          </x14:cfRule>
          <xm:sqref>Z6:Z20 AA6:AA20</xm:sqref>
        </x14:conditionalFormatting>
      </x14:conditionalFormattings>
    </ext>
    <ext xmlns:x14="http://schemas.microsoft.com/office/spreadsheetml/2009/9/main" uri="{CCE6A557-97BC-4b89-ADB6-D9C93CAAB3DF}">
      <x14:dataValidations xmlns:xm="http://schemas.microsoft.com/office/excel/2006/main" count="1">
        <x14:dataValidation type="list" allowBlank="1" xr:uid="{00000000-0002-0000-0600-000001000000}">
          <x14:formula1>
            <xm:f>'Dept Summary'!$A$5:$A$15</xm:f>
          </x14:formula1>
          <x14:formula2>
            <xm:f>0</xm:f>
          </x14:formula2>
          <xm:sqref>C6:C20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ED7D31"/>
    <pageSetUpPr fitToPage="1"/>
  </sheetPr>
  <dimension ref="A1:O537"/>
  <sheetViews>
    <sheetView showGridLines="0" zoomScale="90" zoomScaleNormal="90" workbookViewId="0">
      <pane xSplit="2" ySplit="4" topLeftCell="C5" activePane="bottomRight" state="frozen"/>
      <selection pane="topRight" activeCell="C1" sqref="C1"/>
      <selection pane="bottomLeft" activeCell="A5" sqref="A5"/>
      <selection pane="bottomRight"/>
    </sheetView>
  </sheetViews>
  <sheetFormatPr defaultColWidth="8.7109375" defaultRowHeight="15" x14ac:dyDescent="0.25"/>
  <cols>
    <col min="1" max="1" width="12" customWidth="1"/>
    <col min="2" max="2" width="10" customWidth="1"/>
    <col min="3" max="3" width="26" customWidth="1"/>
    <col min="4" max="4" width="30" customWidth="1"/>
    <col min="5" max="5" width="7" customWidth="1"/>
    <col min="6" max="7" width="12" customWidth="1"/>
    <col min="8" max="8" width="13" customWidth="1"/>
    <col min="9" max="9" width="3" customWidth="1"/>
    <col min="10" max="11" width="12" customWidth="1"/>
    <col min="12" max="12" width="10" customWidth="1"/>
    <col min="13" max="13" width="16" customWidth="1"/>
    <col min="14" max="14" width="12" customWidth="1"/>
    <col min="15" max="15" width="14" customWidth="1"/>
  </cols>
  <sheetData>
    <row r="1" spans="1:15" ht="24" customHeight="1" x14ac:dyDescent="0.3">
      <c r="A1" s="6" t="s">
        <v>1022</v>
      </c>
    </row>
    <row r="2" spans="1:15" x14ac:dyDescent="0.25">
      <c r="A2" s="38" t="s">
        <v>1023</v>
      </c>
    </row>
    <row r="3" spans="1:15" x14ac:dyDescent="0.25">
      <c r="A3" s="95" t="s">
        <v>1024</v>
      </c>
      <c r="J3" s="96" t="s">
        <v>1025</v>
      </c>
    </row>
    <row r="4" spans="1:15" ht="42" customHeight="1" x14ac:dyDescent="0.25">
      <c r="A4" s="2" t="s">
        <v>1026</v>
      </c>
      <c r="B4" s="2" t="s">
        <v>377</v>
      </c>
      <c r="C4" s="2" t="s">
        <v>11</v>
      </c>
      <c r="D4" s="2" t="s">
        <v>12</v>
      </c>
      <c r="E4" s="2" t="s">
        <v>378</v>
      </c>
      <c r="F4" s="2" t="s">
        <v>1027</v>
      </c>
      <c r="G4" s="2" t="s">
        <v>1028</v>
      </c>
      <c r="H4" s="2" t="s">
        <v>1029</v>
      </c>
      <c r="J4" s="2" t="s">
        <v>1030</v>
      </c>
      <c r="K4" s="2" t="s">
        <v>1031</v>
      </c>
      <c r="L4" s="2" t="s">
        <v>1032</v>
      </c>
      <c r="M4" s="2" t="s">
        <v>1033</v>
      </c>
      <c r="N4" s="2" t="s">
        <v>1034</v>
      </c>
      <c r="O4" s="2" t="s">
        <v>1035</v>
      </c>
    </row>
    <row r="5" spans="1:15" x14ac:dyDescent="0.25">
      <c r="A5" s="76" t="s">
        <v>1036</v>
      </c>
      <c r="B5" s="76" t="s">
        <v>397</v>
      </c>
      <c r="C5" s="76" t="s">
        <v>353</v>
      </c>
      <c r="D5" s="76" t="s">
        <v>398</v>
      </c>
      <c r="E5" s="77">
        <v>3</v>
      </c>
      <c r="F5" s="103">
        <v>44593</v>
      </c>
      <c r="H5" s="78">
        <v>103500</v>
      </c>
      <c r="J5" s="100">
        <f>IF($F5&lt;DATE(Assumptions!$B$7,1,1),1,IF(YEAR($F5)&gt;Assumptions!$B$7,13,MONTH($F5)))</f>
        <v>1</v>
      </c>
      <c r="K5" s="100">
        <f>IF(OR($G5="",$G5&gt;Assumptions!$B$6),Assumptions!$B$8,IF($G5&lt;DATE(Assumptions!$B$7,1,1),0,MONTH($G5)))</f>
        <v>8</v>
      </c>
      <c r="L5" s="113">
        <f t="shared" ref="L5:L68" si="0">MAX(0,K5-J5+1)</f>
        <v>8</v>
      </c>
      <c r="M5" s="82">
        <f t="shared" ref="M5:M68" si="1">$H5*L5/12</f>
        <v>69000</v>
      </c>
      <c r="N5" s="100">
        <f>IF(AND($F5&lt;=Assumptions!$B$6,OR($G5="",$G5&gt;Assumptions!$B$6)),1,0)</f>
        <v>1</v>
      </c>
      <c r="O5" s="82">
        <f t="shared" ref="O5:O68" si="2">$H5*N5</f>
        <v>103500</v>
      </c>
    </row>
    <row r="6" spans="1:15" x14ac:dyDescent="0.25">
      <c r="A6" s="76" t="s">
        <v>1037</v>
      </c>
      <c r="B6" s="76" t="s">
        <v>400</v>
      </c>
      <c r="C6" s="76" t="s">
        <v>353</v>
      </c>
      <c r="D6" s="76" t="s">
        <v>401</v>
      </c>
      <c r="E6" s="77">
        <v>2</v>
      </c>
      <c r="F6" s="103">
        <v>45139</v>
      </c>
      <c r="H6" s="78">
        <v>74000</v>
      </c>
      <c r="J6" s="100">
        <f>IF($F6&lt;DATE(Assumptions!$B$7,1,1),1,IF(YEAR($F6)&gt;Assumptions!$B$7,13,MONTH($F6)))</f>
        <v>1</v>
      </c>
      <c r="K6" s="100">
        <f>IF(OR($G6="",$G6&gt;Assumptions!$B$6),Assumptions!$B$8,IF($G6&lt;DATE(Assumptions!$B$7,1,1),0,MONTH($G6)))</f>
        <v>8</v>
      </c>
      <c r="L6" s="113">
        <f t="shared" si="0"/>
        <v>8</v>
      </c>
      <c r="M6" s="82">
        <f t="shared" si="1"/>
        <v>49333.333333333336</v>
      </c>
      <c r="N6" s="100">
        <f>IF(AND($F6&lt;=Assumptions!$B$6,OR($G6="",$G6&gt;Assumptions!$B$6)),1,0)</f>
        <v>1</v>
      </c>
      <c r="O6" s="82">
        <f t="shared" si="2"/>
        <v>74000</v>
      </c>
    </row>
    <row r="7" spans="1:15" x14ac:dyDescent="0.25">
      <c r="A7" s="76" t="s">
        <v>1038</v>
      </c>
      <c r="B7" s="76" t="s">
        <v>402</v>
      </c>
      <c r="C7" s="76" t="s">
        <v>353</v>
      </c>
      <c r="D7" s="76" t="s">
        <v>401</v>
      </c>
      <c r="E7" s="77">
        <v>2</v>
      </c>
      <c r="F7" s="103">
        <v>44805</v>
      </c>
      <c r="H7" s="78">
        <v>84800</v>
      </c>
      <c r="J7" s="100">
        <f>IF($F7&lt;DATE(Assumptions!$B$7,1,1),1,IF(YEAR($F7)&gt;Assumptions!$B$7,13,MONTH($F7)))</f>
        <v>1</v>
      </c>
      <c r="K7" s="100">
        <f>IF(OR($G7="",$G7&gt;Assumptions!$B$6),Assumptions!$B$8,IF($G7&lt;DATE(Assumptions!$B$7,1,1),0,MONTH($G7)))</f>
        <v>8</v>
      </c>
      <c r="L7" s="113">
        <f t="shared" si="0"/>
        <v>8</v>
      </c>
      <c r="M7" s="82">
        <f t="shared" si="1"/>
        <v>56533.333333333336</v>
      </c>
      <c r="N7" s="100">
        <f>IF(AND($F7&lt;=Assumptions!$B$6,OR($G7="",$G7&gt;Assumptions!$B$6)),1,0)</f>
        <v>1</v>
      </c>
      <c r="O7" s="82">
        <f t="shared" si="2"/>
        <v>84800</v>
      </c>
    </row>
    <row r="8" spans="1:15" x14ac:dyDescent="0.25">
      <c r="A8" s="76" t="s">
        <v>1039</v>
      </c>
      <c r="B8" s="76" t="s">
        <v>403</v>
      </c>
      <c r="C8" s="76" t="s">
        <v>353</v>
      </c>
      <c r="D8" s="76" t="s">
        <v>398</v>
      </c>
      <c r="E8" s="77">
        <v>3</v>
      </c>
      <c r="F8" s="103">
        <v>43221</v>
      </c>
      <c r="H8" s="78">
        <v>112800</v>
      </c>
      <c r="J8" s="100">
        <f>IF($F8&lt;DATE(Assumptions!$B$7,1,1),1,IF(YEAR($F8)&gt;Assumptions!$B$7,13,MONTH($F8)))</f>
        <v>1</v>
      </c>
      <c r="K8" s="100">
        <f>IF(OR($G8="",$G8&gt;Assumptions!$B$6),Assumptions!$B$8,IF($G8&lt;DATE(Assumptions!$B$7,1,1),0,MONTH($G8)))</f>
        <v>8</v>
      </c>
      <c r="L8" s="113">
        <f t="shared" si="0"/>
        <v>8</v>
      </c>
      <c r="M8" s="82">
        <f t="shared" si="1"/>
        <v>75200</v>
      </c>
      <c r="N8" s="100">
        <f>IF(AND($F8&lt;=Assumptions!$B$6,OR($G8="",$G8&gt;Assumptions!$B$6)),1,0)</f>
        <v>1</v>
      </c>
      <c r="O8" s="82">
        <f t="shared" si="2"/>
        <v>112800</v>
      </c>
    </row>
    <row r="9" spans="1:15" x14ac:dyDescent="0.25">
      <c r="A9" s="76" t="s">
        <v>1040</v>
      </c>
      <c r="B9" s="76" t="s">
        <v>404</v>
      </c>
      <c r="C9" s="76" t="s">
        <v>353</v>
      </c>
      <c r="D9" s="76" t="s">
        <v>405</v>
      </c>
      <c r="E9" s="77">
        <v>1</v>
      </c>
      <c r="F9" s="103">
        <v>42186</v>
      </c>
      <c r="H9" s="78">
        <v>67600</v>
      </c>
      <c r="J9" s="100">
        <f>IF($F9&lt;DATE(Assumptions!$B$7,1,1),1,IF(YEAR($F9)&gt;Assumptions!$B$7,13,MONTH($F9)))</f>
        <v>1</v>
      </c>
      <c r="K9" s="100">
        <f>IF(OR($G9="",$G9&gt;Assumptions!$B$6),Assumptions!$B$8,IF($G9&lt;DATE(Assumptions!$B$7,1,1),0,MONTH($G9)))</f>
        <v>8</v>
      </c>
      <c r="L9" s="113">
        <f t="shared" si="0"/>
        <v>8</v>
      </c>
      <c r="M9" s="82">
        <f t="shared" si="1"/>
        <v>45066.666666666664</v>
      </c>
      <c r="N9" s="100">
        <f>IF(AND($F9&lt;=Assumptions!$B$6,OR($G9="",$G9&gt;Assumptions!$B$6)),1,0)</f>
        <v>1</v>
      </c>
      <c r="O9" s="82">
        <f t="shared" si="2"/>
        <v>67600</v>
      </c>
    </row>
    <row r="10" spans="1:15" x14ac:dyDescent="0.25">
      <c r="A10" s="76" t="s">
        <v>1041</v>
      </c>
      <c r="B10" s="76" t="s">
        <v>406</v>
      </c>
      <c r="C10" s="76" t="s">
        <v>353</v>
      </c>
      <c r="D10" s="76" t="s">
        <v>407</v>
      </c>
      <c r="E10" s="77">
        <v>1</v>
      </c>
      <c r="F10" s="103">
        <v>43405</v>
      </c>
      <c r="H10" s="78">
        <v>56900</v>
      </c>
      <c r="J10" s="100">
        <f>IF($F10&lt;DATE(Assumptions!$B$7,1,1),1,IF(YEAR($F10)&gt;Assumptions!$B$7,13,MONTH($F10)))</f>
        <v>1</v>
      </c>
      <c r="K10" s="100">
        <f>IF(OR($G10="",$G10&gt;Assumptions!$B$6),Assumptions!$B$8,IF($G10&lt;DATE(Assumptions!$B$7,1,1),0,MONTH($G10)))</f>
        <v>8</v>
      </c>
      <c r="L10" s="113">
        <f t="shared" si="0"/>
        <v>8</v>
      </c>
      <c r="M10" s="82">
        <f t="shared" si="1"/>
        <v>37933.333333333336</v>
      </c>
      <c r="N10" s="100">
        <f>IF(AND($F10&lt;=Assumptions!$B$6,OR($G10="",$G10&gt;Assumptions!$B$6)),1,0)</f>
        <v>1</v>
      </c>
      <c r="O10" s="82">
        <f t="shared" si="2"/>
        <v>56900</v>
      </c>
    </row>
    <row r="11" spans="1:15" x14ac:dyDescent="0.25">
      <c r="A11" s="76" t="s">
        <v>1042</v>
      </c>
      <c r="B11" s="76" t="s">
        <v>408</v>
      </c>
      <c r="C11" s="76" t="s">
        <v>353</v>
      </c>
      <c r="D11" s="76" t="s">
        <v>401</v>
      </c>
      <c r="E11" s="77">
        <v>2</v>
      </c>
      <c r="F11" s="103">
        <v>44562</v>
      </c>
      <c r="H11" s="78">
        <v>76200</v>
      </c>
      <c r="J11" s="100">
        <f>IF($F11&lt;DATE(Assumptions!$B$7,1,1),1,IF(YEAR($F11)&gt;Assumptions!$B$7,13,MONTH($F11)))</f>
        <v>1</v>
      </c>
      <c r="K11" s="100">
        <f>IF(OR($G11="",$G11&gt;Assumptions!$B$6),Assumptions!$B$8,IF($G11&lt;DATE(Assumptions!$B$7,1,1),0,MONTH($G11)))</f>
        <v>8</v>
      </c>
      <c r="L11" s="113">
        <f t="shared" si="0"/>
        <v>8</v>
      </c>
      <c r="M11" s="82">
        <f t="shared" si="1"/>
        <v>50800</v>
      </c>
      <c r="N11" s="100">
        <f>IF(AND($F11&lt;=Assumptions!$B$6,OR($G11="",$G11&gt;Assumptions!$B$6)),1,0)</f>
        <v>1</v>
      </c>
      <c r="O11" s="82">
        <f t="shared" si="2"/>
        <v>76200</v>
      </c>
    </row>
    <row r="12" spans="1:15" x14ac:dyDescent="0.25">
      <c r="A12" s="76" t="s">
        <v>1043</v>
      </c>
      <c r="B12" s="76" t="s">
        <v>409</v>
      </c>
      <c r="C12" s="76" t="s">
        <v>353</v>
      </c>
      <c r="D12" s="76" t="s">
        <v>407</v>
      </c>
      <c r="E12" s="77">
        <v>1</v>
      </c>
      <c r="F12" s="103">
        <v>42461</v>
      </c>
      <c r="H12" s="78">
        <v>53500</v>
      </c>
      <c r="J12" s="100">
        <f>IF($F12&lt;DATE(Assumptions!$B$7,1,1),1,IF(YEAR($F12)&gt;Assumptions!$B$7,13,MONTH($F12)))</f>
        <v>1</v>
      </c>
      <c r="K12" s="100">
        <f>IF(OR($G12="",$G12&gt;Assumptions!$B$6),Assumptions!$B$8,IF($G12&lt;DATE(Assumptions!$B$7,1,1),0,MONTH($G12)))</f>
        <v>8</v>
      </c>
      <c r="L12" s="113">
        <f t="shared" si="0"/>
        <v>8</v>
      </c>
      <c r="M12" s="82">
        <f t="shared" si="1"/>
        <v>35666.666666666664</v>
      </c>
      <c r="N12" s="100">
        <f>IF(AND($F12&lt;=Assumptions!$B$6,OR($G12="",$G12&gt;Assumptions!$B$6)),1,0)</f>
        <v>1</v>
      </c>
      <c r="O12" s="82">
        <f t="shared" si="2"/>
        <v>53500</v>
      </c>
    </row>
    <row r="13" spans="1:15" x14ac:dyDescent="0.25">
      <c r="A13" s="76" t="s">
        <v>1044</v>
      </c>
      <c r="B13" s="76" t="s">
        <v>410</v>
      </c>
      <c r="C13" s="76" t="s">
        <v>353</v>
      </c>
      <c r="D13" s="76" t="s">
        <v>401</v>
      </c>
      <c r="E13" s="77">
        <v>2</v>
      </c>
      <c r="F13" s="103">
        <v>43132</v>
      </c>
      <c r="H13" s="78">
        <v>96100</v>
      </c>
      <c r="J13" s="100">
        <f>IF($F13&lt;DATE(Assumptions!$B$7,1,1),1,IF(YEAR($F13)&gt;Assumptions!$B$7,13,MONTH($F13)))</f>
        <v>1</v>
      </c>
      <c r="K13" s="100">
        <f>IF(OR($G13="",$G13&gt;Assumptions!$B$6),Assumptions!$B$8,IF($G13&lt;DATE(Assumptions!$B$7,1,1),0,MONTH($G13)))</f>
        <v>8</v>
      </c>
      <c r="L13" s="113">
        <f t="shared" si="0"/>
        <v>8</v>
      </c>
      <c r="M13" s="82">
        <f t="shared" si="1"/>
        <v>64066.666666666664</v>
      </c>
      <c r="N13" s="100">
        <f>IF(AND($F13&lt;=Assumptions!$B$6,OR($G13="",$G13&gt;Assumptions!$B$6)),1,0)</f>
        <v>1</v>
      </c>
      <c r="O13" s="82">
        <f t="shared" si="2"/>
        <v>96100</v>
      </c>
    </row>
    <row r="14" spans="1:15" x14ac:dyDescent="0.25">
      <c r="A14" s="76" t="s">
        <v>1045</v>
      </c>
      <c r="B14" s="76" t="s">
        <v>411</v>
      </c>
      <c r="C14" s="76" t="s">
        <v>353</v>
      </c>
      <c r="D14" s="76" t="s">
        <v>398</v>
      </c>
      <c r="E14" s="77">
        <v>3</v>
      </c>
      <c r="F14" s="103">
        <v>43770</v>
      </c>
      <c r="H14" s="78">
        <v>111100</v>
      </c>
      <c r="J14" s="100">
        <f>IF($F14&lt;DATE(Assumptions!$B$7,1,1),1,IF(YEAR($F14)&gt;Assumptions!$B$7,13,MONTH($F14)))</f>
        <v>1</v>
      </c>
      <c r="K14" s="100">
        <f>IF(OR($G14="",$G14&gt;Assumptions!$B$6),Assumptions!$B$8,IF($G14&lt;DATE(Assumptions!$B$7,1,1),0,MONTH($G14)))</f>
        <v>8</v>
      </c>
      <c r="L14" s="113">
        <f t="shared" si="0"/>
        <v>8</v>
      </c>
      <c r="M14" s="82">
        <f t="shared" si="1"/>
        <v>74066.666666666672</v>
      </c>
      <c r="N14" s="100">
        <f>IF(AND($F14&lt;=Assumptions!$B$6,OR($G14="",$G14&gt;Assumptions!$B$6)),1,0)</f>
        <v>1</v>
      </c>
      <c r="O14" s="82">
        <f t="shared" si="2"/>
        <v>111100</v>
      </c>
    </row>
    <row r="15" spans="1:15" x14ac:dyDescent="0.25">
      <c r="A15" s="76" t="s">
        <v>1046</v>
      </c>
      <c r="B15" s="76" t="s">
        <v>412</v>
      </c>
      <c r="C15" s="76" t="s">
        <v>353</v>
      </c>
      <c r="D15" s="76" t="s">
        <v>401</v>
      </c>
      <c r="E15" s="77">
        <v>2</v>
      </c>
      <c r="F15" s="103">
        <v>43009</v>
      </c>
      <c r="H15" s="78">
        <v>94400</v>
      </c>
      <c r="J15" s="100">
        <f>IF($F15&lt;DATE(Assumptions!$B$7,1,1),1,IF(YEAR($F15)&gt;Assumptions!$B$7,13,MONTH($F15)))</f>
        <v>1</v>
      </c>
      <c r="K15" s="100">
        <f>IF(OR($G15="",$G15&gt;Assumptions!$B$6),Assumptions!$B$8,IF($G15&lt;DATE(Assumptions!$B$7,1,1),0,MONTH($G15)))</f>
        <v>8</v>
      </c>
      <c r="L15" s="113">
        <f t="shared" si="0"/>
        <v>8</v>
      </c>
      <c r="M15" s="82">
        <f t="shared" si="1"/>
        <v>62933.333333333336</v>
      </c>
      <c r="N15" s="100">
        <f>IF(AND($F15&lt;=Assumptions!$B$6,OR($G15="",$G15&gt;Assumptions!$B$6)),1,0)</f>
        <v>1</v>
      </c>
      <c r="O15" s="82">
        <f t="shared" si="2"/>
        <v>94400</v>
      </c>
    </row>
    <row r="16" spans="1:15" x14ac:dyDescent="0.25">
      <c r="A16" s="76" t="s">
        <v>1047</v>
      </c>
      <c r="B16" s="76" t="s">
        <v>413</v>
      </c>
      <c r="C16" s="76" t="s">
        <v>353</v>
      </c>
      <c r="D16" s="76" t="s">
        <v>398</v>
      </c>
      <c r="E16" s="77">
        <v>3</v>
      </c>
      <c r="F16" s="103">
        <v>42644</v>
      </c>
      <c r="H16" s="78">
        <v>101200</v>
      </c>
      <c r="J16" s="100">
        <f>IF($F16&lt;DATE(Assumptions!$B$7,1,1),1,IF(YEAR($F16)&gt;Assumptions!$B$7,13,MONTH($F16)))</f>
        <v>1</v>
      </c>
      <c r="K16" s="100">
        <f>IF(OR($G16="",$G16&gt;Assumptions!$B$6),Assumptions!$B$8,IF($G16&lt;DATE(Assumptions!$B$7,1,1),0,MONTH($G16)))</f>
        <v>8</v>
      </c>
      <c r="L16" s="113">
        <f t="shared" si="0"/>
        <v>8</v>
      </c>
      <c r="M16" s="82">
        <f t="shared" si="1"/>
        <v>67466.666666666672</v>
      </c>
      <c r="N16" s="100">
        <f>IF(AND($F16&lt;=Assumptions!$B$6,OR($G16="",$G16&gt;Assumptions!$B$6)),1,0)</f>
        <v>1</v>
      </c>
      <c r="O16" s="82">
        <f t="shared" si="2"/>
        <v>101200</v>
      </c>
    </row>
    <row r="17" spans="1:15" x14ac:dyDescent="0.25">
      <c r="A17" s="76" t="s">
        <v>1048</v>
      </c>
      <c r="B17" s="76" t="s">
        <v>414</v>
      </c>
      <c r="C17" s="76" t="s">
        <v>353</v>
      </c>
      <c r="D17" s="76" t="s">
        <v>401</v>
      </c>
      <c r="E17" s="77">
        <v>2</v>
      </c>
      <c r="F17" s="103">
        <v>43191</v>
      </c>
      <c r="H17" s="78">
        <v>73800</v>
      </c>
      <c r="J17" s="100">
        <f>IF($F17&lt;DATE(Assumptions!$B$7,1,1),1,IF(YEAR($F17)&gt;Assumptions!$B$7,13,MONTH($F17)))</f>
        <v>1</v>
      </c>
      <c r="K17" s="100">
        <f>IF(OR($G17="",$G17&gt;Assumptions!$B$6),Assumptions!$B$8,IF($G17&lt;DATE(Assumptions!$B$7,1,1),0,MONTH($G17)))</f>
        <v>8</v>
      </c>
      <c r="L17" s="113">
        <f t="shared" si="0"/>
        <v>8</v>
      </c>
      <c r="M17" s="82">
        <f t="shared" si="1"/>
        <v>49200</v>
      </c>
      <c r="N17" s="100">
        <f>IF(AND($F17&lt;=Assumptions!$B$6,OR($G17="",$G17&gt;Assumptions!$B$6)),1,0)</f>
        <v>1</v>
      </c>
      <c r="O17" s="82">
        <f t="shared" si="2"/>
        <v>73800</v>
      </c>
    </row>
    <row r="18" spans="1:15" x14ac:dyDescent="0.25">
      <c r="A18" s="76" t="s">
        <v>1049</v>
      </c>
      <c r="B18" s="76" t="s">
        <v>415</v>
      </c>
      <c r="C18" s="76" t="s">
        <v>353</v>
      </c>
      <c r="D18" s="76" t="s">
        <v>407</v>
      </c>
      <c r="E18" s="77">
        <v>1</v>
      </c>
      <c r="F18" s="103">
        <v>45170</v>
      </c>
      <c r="H18" s="78">
        <v>53200</v>
      </c>
      <c r="J18" s="100">
        <f>IF($F18&lt;DATE(Assumptions!$B$7,1,1),1,IF(YEAR($F18)&gt;Assumptions!$B$7,13,MONTH($F18)))</f>
        <v>1</v>
      </c>
      <c r="K18" s="100">
        <f>IF(OR($G18="",$G18&gt;Assumptions!$B$6),Assumptions!$B$8,IF($G18&lt;DATE(Assumptions!$B$7,1,1),0,MONTH($G18)))</f>
        <v>8</v>
      </c>
      <c r="L18" s="113">
        <f t="shared" si="0"/>
        <v>8</v>
      </c>
      <c r="M18" s="82">
        <f t="shared" si="1"/>
        <v>35466.666666666664</v>
      </c>
      <c r="N18" s="100">
        <f>IF(AND($F18&lt;=Assumptions!$B$6,OR($G18="",$G18&gt;Assumptions!$B$6)),1,0)</f>
        <v>1</v>
      </c>
      <c r="O18" s="82">
        <f t="shared" si="2"/>
        <v>53200</v>
      </c>
    </row>
    <row r="19" spans="1:15" x14ac:dyDescent="0.25">
      <c r="A19" s="76" t="s">
        <v>1050</v>
      </c>
      <c r="B19" s="76" t="s">
        <v>416</v>
      </c>
      <c r="C19" s="76" t="s">
        <v>353</v>
      </c>
      <c r="D19" s="76" t="s">
        <v>401</v>
      </c>
      <c r="E19" s="77">
        <v>2</v>
      </c>
      <c r="F19" s="103">
        <v>45962</v>
      </c>
      <c r="H19" s="78">
        <v>88200</v>
      </c>
      <c r="J19" s="100">
        <f>IF($F19&lt;DATE(Assumptions!$B$7,1,1),1,IF(YEAR($F19)&gt;Assumptions!$B$7,13,MONTH($F19)))</f>
        <v>1</v>
      </c>
      <c r="K19" s="100">
        <f>IF(OR($G19="",$G19&gt;Assumptions!$B$6),Assumptions!$B$8,IF($G19&lt;DATE(Assumptions!$B$7,1,1),0,MONTH($G19)))</f>
        <v>8</v>
      </c>
      <c r="L19" s="113">
        <f t="shared" si="0"/>
        <v>8</v>
      </c>
      <c r="M19" s="82">
        <f t="shared" si="1"/>
        <v>58800</v>
      </c>
      <c r="N19" s="100">
        <f>IF(AND($F19&lt;=Assumptions!$B$6,OR($G19="",$G19&gt;Assumptions!$B$6)),1,0)</f>
        <v>1</v>
      </c>
      <c r="O19" s="82">
        <f t="shared" si="2"/>
        <v>88200</v>
      </c>
    </row>
    <row r="20" spans="1:15" x14ac:dyDescent="0.25">
      <c r="A20" s="76" t="s">
        <v>1051</v>
      </c>
      <c r="B20" s="76" t="s">
        <v>417</v>
      </c>
      <c r="C20" s="76" t="s">
        <v>353</v>
      </c>
      <c r="D20" s="76" t="s">
        <v>398</v>
      </c>
      <c r="E20" s="77">
        <v>3</v>
      </c>
      <c r="F20" s="103">
        <v>43466</v>
      </c>
      <c r="H20" s="78">
        <v>109000</v>
      </c>
      <c r="J20" s="100">
        <f>IF($F20&lt;DATE(Assumptions!$B$7,1,1),1,IF(YEAR($F20)&gt;Assumptions!$B$7,13,MONTH($F20)))</f>
        <v>1</v>
      </c>
      <c r="K20" s="100">
        <f>IF(OR($G20="",$G20&gt;Assumptions!$B$6),Assumptions!$B$8,IF($G20&lt;DATE(Assumptions!$B$7,1,1),0,MONTH($G20)))</f>
        <v>8</v>
      </c>
      <c r="L20" s="113">
        <f t="shared" si="0"/>
        <v>8</v>
      </c>
      <c r="M20" s="82">
        <f t="shared" si="1"/>
        <v>72666.666666666672</v>
      </c>
      <c r="N20" s="100">
        <f>IF(AND($F20&lt;=Assumptions!$B$6,OR($G20="",$G20&gt;Assumptions!$B$6)),1,0)</f>
        <v>1</v>
      </c>
      <c r="O20" s="82">
        <f t="shared" si="2"/>
        <v>109000</v>
      </c>
    </row>
    <row r="21" spans="1:15" x14ac:dyDescent="0.25">
      <c r="A21" s="76" t="s">
        <v>1052</v>
      </c>
      <c r="B21" s="76" t="s">
        <v>418</v>
      </c>
      <c r="C21" s="76" t="s">
        <v>353</v>
      </c>
      <c r="D21" s="76" t="s">
        <v>401</v>
      </c>
      <c r="E21" s="77">
        <v>2</v>
      </c>
      <c r="F21" s="103">
        <v>41760</v>
      </c>
      <c r="H21" s="78">
        <v>73700</v>
      </c>
      <c r="J21" s="100">
        <f>IF($F21&lt;DATE(Assumptions!$B$7,1,1),1,IF(YEAR($F21)&gt;Assumptions!$B$7,13,MONTH($F21)))</f>
        <v>1</v>
      </c>
      <c r="K21" s="100">
        <f>IF(OR($G21="",$G21&gt;Assumptions!$B$6),Assumptions!$B$8,IF($G21&lt;DATE(Assumptions!$B$7,1,1),0,MONTH($G21)))</f>
        <v>8</v>
      </c>
      <c r="L21" s="113">
        <f t="shared" si="0"/>
        <v>8</v>
      </c>
      <c r="M21" s="82">
        <f t="shared" si="1"/>
        <v>49133.333333333336</v>
      </c>
      <c r="N21" s="100">
        <f>IF(AND($F21&lt;=Assumptions!$B$6,OR($G21="",$G21&gt;Assumptions!$B$6)),1,0)</f>
        <v>1</v>
      </c>
      <c r="O21" s="82">
        <f t="shared" si="2"/>
        <v>73700</v>
      </c>
    </row>
    <row r="22" spans="1:15" x14ac:dyDescent="0.25">
      <c r="A22" s="76" t="s">
        <v>1053</v>
      </c>
      <c r="B22" s="76" t="s">
        <v>419</v>
      </c>
      <c r="C22" s="76" t="s">
        <v>353</v>
      </c>
      <c r="D22" s="76" t="s">
        <v>407</v>
      </c>
      <c r="E22" s="77">
        <v>1</v>
      </c>
      <c r="F22" s="103">
        <v>44136</v>
      </c>
      <c r="H22" s="78">
        <v>69400</v>
      </c>
      <c r="J22" s="100">
        <f>IF($F22&lt;DATE(Assumptions!$B$7,1,1),1,IF(YEAR($F22)&gt;Assumptions!$B$7,13,MONTH($F22)))</f>
        <v>1</v>
      </c>
      <c r="K22" s="100">
        <f>IF(OR($G22="",$G22&gt;Assumptions!$B$6),Assumptions!$B$8,IF($G22&lt;DATE(Assumptions!$B$7,1,1),0,MONTH($G22)))</f>
        <v>8</v>
      </c>
      <c r="L22" s="113">
        <f t="shared" si="0"/>
        <v>8</v>
      </c>
      <c r="M22" s="82">
        <f t="shared" si="1"/>
        <v>46266.666666666664</v>
      </c>
      <c r="N22" s="100">
        <f>IF(AND($F22&lt;=Assumptions!$B$6,OR($G22="",$G22&gt;Assumptions!$B$6)),1,0)</f>
        <v>1</v>
      </c>
      <c r="O22" s="82">
        <f t="shared" si="2"/>
        <v>69400</v>
      </c>
    </row>
    <row r="23" spans="1:15" x14ac:dyDescent="0.25">
      <c r="A23" s="76" t="s">
        <v>1054</v>
      </c>
      <c r="B23" s="76" t="s">
        <v>420</v>
      </c>
      <c r="C23" s="76" t="s">
        <v>353</v>
      </c>
      <c r="D23" s="76" t="s">
        <v>407</v>
      </c>
      <c r="E23" s="77">
        <v>1</v>
      </c>
      <c r="F23" s="103">
        <v>43617</v>
      </c>
      <c r="H23" s="78">
        <v>64100</v>
      </c>
      <c r="J23" s="100">
        <f>IF($F23&lt;DATE(Assumptions!$B$7,1,1),1,IF(YEAR($F23)&gt;Assumptions!$B$7,13,MONTH($F23)))</f>
        <v>1</v>
      </c>
      <c r="K23" s="100">
        <f>IF(OR($G23="",$G23&gt;Assumptions!$B$6),Assumptions!$B$8,IF($G23&lt;DATE(Assumptions!$B$7,1,1),0,MONTH($G23)))</f>
        <v>8</v>
      </c>
      <c r="L23" s="113">
        <f t="shared" si="0"/>
        <v>8</v>
      </c>
      <c r="M23" s="82">
        <f t="shared" si="1"/>
        <v>42733.333333333336</v>
      </c>
      <c r="N23" s="100">
        <f>IF(AND($F23&lt;=Assumptions!$B$6,OR($G23="",$G23&gt;Assumptions!$B$6)),1,0)</f>
        <v>1</v>
      </c>
      <c r="O23" s="82">
        <f t="shared" si="2"/>
        <v>64100</v>
      </c>
    </row>
    <row r="24" spans="1:15" x14ac:dyDescent="0.25">
      <c r="A24" s="76" t="s">
        <v>1055</v>
      </c>
      <c r="B24" s="76" t="s">
        <v>421</v>
      </c>
      <c r="C24" s="76" t="s">
        <v>353</v>
      </c>
      <c r="D24" s="76" t="s">
        <v>405</v>
      </c>
      <c r="E24" s="77">
        <v>1</v>
      </c>
      <c r="F24" s="103">
        <v>44774</v>
      </c>
      <c r="H24" s="78">
        <v>67800</v>
      </c>
      <c r="J24" s="100">
        <f>IF($F24&lt;DATE(Assumptions!$B$7,1,1),1,IF(YEAR($F24)&gt;Assumptions!$B$7,13,MONTH($F24)))</f>
        <v>1</v>
      </c>
      <c r="K24" s="100">
        <f>IF(OR($G24="",$G24&gt;Assumptions!$B$6),Assumptions!$B$8,IF($G24&lt;DATE(Assumptions!$B$7,1,1),0,MONTH($G24)))</f>
        <v>8</v>
      </c>
      <c r="L24" s="113">
        <f t="shared" si="0"/>
        <v>8</v>
      </c>
      <c r="M24" s="82">
        <f t="shared" si="1"/>
        <v>45200</v>
      </c>
      <c r="N24" s="100">
        <f>IF(AND($F24&lt;=Assumptions!$B$6,OR($G24="",$G24&gt;Assumptions!$B$6)),1,0)</f>
        <v>1</v>
      </c>
      <c r="O24" s="82">
        <f t="shared" si="2"/>
        <v>67800</v>
      </c>
    </row>
    <row r="25" spans="1:15" x14ac:dyDescent="0.25">
      <c r="A25" s="76" t="s">
        <v>1056</v>
      </c>
      <c r="B25" s="76" t="s">
        <v>422</v>
      </c>
      <c r="C25" s="76" t="s">
        <v>353</v>
      </c>
      <c r="D25" s="76" t="s">
        <v>405</v>
      </c>
      <c r="E25" s="77">
        <v>1</v>
      </c>
      <c r="F25" s="103">
        <v>44075</v>
      </c>
      <c r="H25" s="78">
        <v>69400</v>
      </c>
      <c r="J25" s="100">
        <f>IF($F25&lt;DATE(Assumptions!$B$7,1,1),1,IF(YEAR($F25)&gt;Assumptions!$B$7,13,MONTH($F25)))</f>
        <v>1</v>
      </c>
      <c r="K25" s="100">
        <f>IF(OR($G25="",$G25&gt;Assumptions!$B$6),Assumptions!$B$8,IF($G25&lt;DATE(Assumptions!$B$7,1,1),0,MONTH($G25)))</f>
        <v>8</v>
      </c>
      <c r="L25" s="113">
        <f t="shared" si="0"/>
        <v>8</v>
      </c>
      <c r="M25" s="82">
        <f t="shared" si="1"/>
        <v>46266.666666666664</v>
      </c>
      <c r="N25" s="100">
        <f>IF(AND($F25&lt;=Assumptions!$B$6,OR($G25="",$G25&gt;Assumptions!$B$6)),1,0)</f>
        <v>1</v>
      </c>
      <c r="O25" s="82">
        <f t="shared" si="2"/>
        <v>69400</v>
      </c>
    </row>
    <row r="26" spans="1:15" x14ac:dyDescent="0.25">
      <c r="A26" s="76" t="s">
        <v>1057</v>
      </c>
      <c r="B26" s="76" t="s">
        <v>423</v>
      </c>
      <c r="C26" s="76" t="s">
        <v>353</v>
      </c>
      <c r="D26" s="76" t="s">
        <v>398</v>
      </c>
      <c r="E26" s="77">
        <v>3</v>
      </c>
      <c r="F26" s="103">
        <v>45658</v>
      </c>
      <c r="H26" s="78">
        <v>102000</v>
      </c>
      <c r="J26" s="100">
        <f>IF($F26&lt;DATE(Assumptions!$B$7,1,1),1,IF(YEAR($F26)&gt;Assumptions!$B$7,13,MONTH($F26)))</f>
        <v>1</v>
      </c>
      <c r="K26" s="100">
        <f>IF(OR($G26="",$G26&gt;Assumptions!$B$6),Assumptions!$B$8,IF($G26&lt;DATE(Assumptions!$B$7,1,1),0,MONTH($G26)))</f>
        <v>8</v>
      </c>
      <c r="L26" s="113">
        <f t="shared" si="0"/>
        <v>8</v>
      </c>
      <c r="M26" s="82">
        <f t="shared" si="1"/>
        <v>68000</v>
      </c>
      <c r="N26" s="100">
        <f>IF(AND($F26&lt;=Assumptions!$B$6,OR($G26="",$G26&gt;Assumptions!$B$6)),1,0)</f>
        <v>1</v>
      </c>
      <c r="O26" s="82">
        <f t="shared" si="2"/>
        <v>102000</v>
      </c>
    </row>
    <row r="27" spans="1:15" x14ac:dyDescent="0.25">
      <c r="A27" s="76" t="s">
        <v>1058</v>
      </c>
      <c r="B27" s="76" t="s">
        <v>424</v>
      </c>
      <c r="C27" s="76" t="s">
        <v>353</v>
      </c>
      <c r="D27" s="76" t="s">
        <v>401</v>
      </c>
      <c r="E27" s="77">
        <v>2</v>
      </c>
      <c r="F27" s="103">
        <v>45809</v>
      </c>
      <c r="H27" s="78">
        <v>72700</v>
      </c>
      <c r="J27" s="100">
        <f>IF($F27&lt;DATE(Assumptions!$B$7,1,1),1,IF(YEAR($F27)&gt;Assumptions!$B$7,13,MONTH($F27)))</f>
        <v>1</v>
      </c>
      <c r="K27" s="100">
        <f>IF(OR($G27="",$G27&gt;Assumptions!$B$6),Assumptions!$B$8,IF($G27&lt;DATE(Assumptions!$B$7,1,1),0,MONTH($G27)))</f>
        <v>8</v>
      </c>
      <c r="L27" s="113">
        <f t="shared" si="0"/>
        <v>8</v>
      </c>
      <c r="M27" s="82">
        <f t="shared" si="1"/>
        <v>48466.666666666664</v>
      </c>
      <c r="N27" s="100">
        <f>IF(AND($F27&lt;=Assumptions!$B$6,OR($G27="",$G27&gt;Assumptions!$B$6)),1,0)</f>
        <v>1</v>
      </c>
      <c r="O27" s="82">
        <f t="shared" si="2"/>
        <v>72700</v>
      </c>
    </row>
    <row r="28" spans="1:15" x14ac:dyDescent="0.25">
      <c r="A28" s="76" t="s">
        <v>1059</v>
      </c>
      <c r="B28" s="76" t="s">
        <v>425</v>
      </c>
      <c r="C28" s="76" t="s">
        <v>353</v>
      </c>
      <c r="D28" s="76" t="s">
        <v>398</v>
      </c>
      <c r="E28" s="77">
        <v>3</v>
      </c>
      <c r="F28" s="103">
        <v>44562</v>
      </c>
      <c r="H28" s="78">
        <v>112500</v>
      </c>
      <c r="J28" s="100">
        <f>IF($F28&lt;DATE(Assumptions!$B$7,1,1),1,IF(YEAR($F28)&gt;Assumptions!$B$7,13,MONTH($F28)))</f>
        <v>1</v>
      </c>
      <c r="K28" s="100">
        <f>IF(OR($G28="",$G28&gt;Assumptions!$B$6),Assumptions!$B$8,IF($G28&lt;DATE(Assumptions!$B$7,1,1),0,MONTH($G28)))</f>
        <v>8</v>
      </c>
      <c r="L28" s="113">
        <f t="shared" si="0"/>
        <v>8</v>
      </c>
      <c r="M28" s="82">
        <f t="shared" si="1"/>
        <v>75000</v>
      </c>
      <c r="N28" s="100">
        <f>IF(AND($F28&lt;=Assumptions!$B$6,OR($G28="",$G28&gt;Assumptions!$B$6)),1,0)</f>
        <v>1</v>
      </c>
      <c r="O28" s="82">
        <f t="shared" si="2"/>
        <v>112500</v>
      </c>
    </row>
    <row r="29" spans="1:15" x14ac:dyDescent="0.25">
      <c r="A29" s="76" t="s">
        <v>1060</v>
      </c>
      <c r="B29" s="76" t="s">
        <v>426</v>
      </c>
      <c r="C29" s="76" t="s">
        <v>353</v>
      </c>
      <c r="D29" s="76" t="s">
        <v>407</v>
      </c>
      <c r="E29" s="77">
        <v>1</v>
      </c>
      <c r="F29" s="103">
        <v>45962</v>
      </c>
      <c r="H29" s="78">
        <v>56800</v>
      </c>
      <c r="J29" s="100">
        <f>IF($F29&lt;DATE(Assumptions!$B$7,1,1),1,IF(YEAR($F29)&gt;Assumptions!$B$7,13,MONTH($F29)))</f>
        <v>1</v>
      </c>
      <c r="K29" s="100">
        <f>IF(OR($G29="",$G29&gt;Assumptions!$B$6),Assumptions!$B$8,IF($G29&lt;DATE(Assumptions!$B$7,1,1),0,MONTH($G29)))</f>
        <v>8</v>
      </c>
      <c r="L29" s="113">
        <f t="shared" si="0"/>
        <v>8</v>
      </c>
      <c r="M29" s="82">
        <f t="shared" si="1"/>
        <v>37866.666666666664</v>
      </c>
      <c r="N29" s="100">
        <f>IF(AND($F29&lt;=Assumptions!$B$6,OR($G29="",$G29&gt;Assumptions!$B$6)),1,0)</f>
        <v>1</v>
      </c>
      <c r="O29" s="82">
        <f t="shared" si="2"/>
        <v>56800</v>
      </c>
    </row>
    <row r="30" spans="1:15" x14ac:dyDescent="0.25">
      <c r="A30" s="76" t="s">
        <v>1061</v>
      </c>
      <c r="B30" s="76" t="s">
        <v>427</v>
      </c>
      <c r="C30" s="76" t="s">
        <v>353</v>
      </c>
      <c r="D30" s="76" t="s">
        <v>405</v>
      </c>
      <c r="E30" s="77">
        <v>1</v>
      </c>
      <c r="F30" s="103">
        <v>44774</v>
      </c>
      <c r="H30" s="78">
        <v>68300</v>
      </c>
      <c r="J30" s="100">
        <f>IF($F30&lt;DATE(Assumptions!$B$7,1,1),1,IF(YEAR($F30)&gt;Assumptions!$B$7,13,MONTH($F30)))</f>
        <v>1</v>
      </c>
      <c r="K30" s="100">
        <f>IF(OR($G30="",$G30&gt;Assumptions!$B$6),Assumptions!$B$8,IF($G30&lt;DATE(Assumptions!$B$7,1,1),0,MONTH($G30)))</f>
        <v>8</v>
      </c>
      <c r="L30" s="113">
        <f t="shared" si="0"/>
        <v>8</v>
      </c>
      <c r="M30" s="82">
        <f t="shared" si="1"/>
        <v>45533.333333333336</v>
      </c>
      <c r="N30" s="100">
        <f>IF(AND($F30&lt;=Assumptions!$B$6,OR($G30="",$G30&gt;Assumptions!$B$6)),1,0)</f>
        <v>1</v>
      </c>
      <c r="O30" s="82">
        <f t="shared" si="2"/>
        <v>68300</v>
      </c>
    </row>
    <row r="31" spans="1:15" x14ac:dyDescent="0.25">
      <c r="A31" s="76" t="s">
        <v>1062</v>
      </c>
      <c r="B31" s="76" t="s">
        <v>428</v>
      </c>
      <c r="C31" s="76" t="s">
        <v>353</v>
      </c>
      <c r="D31" s="76" t="s">
        <v>405</v>
      </c>
      <c r="E31" s="77">
        <v>1</v>
      </c>
      <c r="F31" s="103">
        <v>44409</v>
      </c>
      <c r="H31" s="78">
        <v>62400</v>
      </c>
      <c r="J31" s="100">
        <f>IF($F31&lt;DATE(Assumptions!$B$7,1,1),1,IF(YEAR($F31)&gt;Assumptions!$B$7,13,MONTH($F31)))</f>
        <v>1</v>
      </c>
      <c r="K31" s="100">
        <f>IF(OR($G31="",$G31&gt;Assumptions!$B$6),Assumptions!$B$8,IF($G31&lt;DATE(Assumptions!$B$7,1,1),0,MONTH($G31)))</f>
        <v>8</v>
      </c>
      <c r="L31" s="113">
        <f t="shared" si="0"/>
        <v>8</v>
      </c>
      <c r="M31" s="82">
        <f t="shared" si="1"/>
        <v>41600</v>
      </c>
      <c r="N31" s="100">
        <f>IF(AND($F31&lt;=Assumptions!$B$6,OR($G31="",$G31&gt;Assumptions!$B$6)),1,0)</f>
        <v>1</v>
      </c>
      <c r="O31" s="82">
        <f t="shared" si="2"/>
        <v>62400</v>
      </c>
    </row>
    <row r="32" spans="1:15" x14ac:dyDescent="0.25">
      <c r="A32" s="76" t="s">
        <v>1063</v>
      </c>
      <c r="B32" s="76" t="s">
        <v>429</v>
      </c>
      <c r="C32" s="76" t="s">
        <v>353</v>
      </c>
      <c r="D32" s="76" t="s">
        <v>405</v>
      </c>
      <c r="E32" s="77">
        <v>1</v>
      </c>
      <c r="F32" s="103">
        <v>42522</v>
      </c>
      <c r="H32" s="78">
        <v>62700</v>
      </c>
      <c r="J32" s="100">
        <f>IF($F32&lt;DATE(Assumptions!$B$7,1,1),1,IF(YEAR($F32)&gt;Assumptions!$B$7,13,MONTH($F32)))</f>
        <v>1</v>
      </c>
      <c r="K32" s="100">
        <f>IF(OR($G32="",$G32&gt;Assumptions!$B$6),Assumptions!$B$8,IF($G32&lt;DATE(Assumptions!$B$7,1,1),0,MONTH($G32)))</f>
        <v>8</v>
      </c>
      <c r="L32" s="113">
        <f t="shared" si="0"/>
        <v>8</v>
      </c>
      <c r="M32" s="82">
        <f t="shared" si="1"/>
        <v>41800</v>
      </c>
      <c r="N32" s="100">
        <f>IF(AND($F32&lt;=Assumptions!$B$6,OR($G32="",$G32&gt;Assumptions!$B$6)),1,0)</f>
        <v>1</v>
      </c>
      <c r="O32" s="82">
        <f t="shared" si="2"/>
        <v>62700</v>
      </c>
    </row>
    <row r="33" spans="1:15" x14ac:dyDescent="0.25">
      <c r="A33" s="76" t="s">
        <v>1064</v>
      </c>
      <c r="B33" s="76" t="s">
        <v>430</v>
      </c>
      <c r="C33" s="76" t="s">
        <v>353</v>
      </c>
      <c r="D33" s="76" t="s">
        <v>405</v>
      </c>
      <c r="E33" s="77">
        <v>1</v>
      </c>
      <c r="F33" s="103">
        <v>45536</v>
      </c>
      <c r="H33" s="78">
        <v>55100</v>
      </c>
      <c r="J33" s="100">
        <f>IF($F33&lt;DATE(Assumptions!$B$7,1,1),1,IF(YEAR($F33)&gt;Assumptions!$B$7,13,MONTH($F33)))</f>
        <v>1</v>
      </c>
      <c r="K33" s="100">
        <f>IF(OR($G33="",$G33&gt;Assumptions!$B$6),Assumptions!$B$8,IF($G33&lt;DATE(Assumptions!$B$7,1,1),0,MONTH($G33)))</f>
        <v>8</v>
      </c>
      <c r="L33" s="113">
        <f t="shared" si="0"/>
        <v>8</v>
      </c>
      <c r="M33" s="82">
        <f t="shared" si="1"/>
        <v>36733.333333333336</v>
      </c>
      <c r="N33" s="100">
        <f>IF(AND($F33&lt;=Assumptions!$B$6,OR($G33="",$G33&gt;Assumptions!$B$6)),1,0)</f>
        <v>1</v>
      </c>
      <c r="O33" s="82">
        <f t="shared" si="2"/>
        <v>55100</v>
      </c>
    </row>
    <row r="34" spans="1:15" x14ac:dyDescent="0.25">
      <c r="A34" s="76" t="s">
        <v>1065</v>
      </c>
      <c r="B34" s="76" t="s">
        <v>431</v>
      </c>
      <c r="C34" s="76" t="s">
        <v>353</v>
      </c>
      <c r="D34" s="76" t="s">
        <v>405</v>
      </c>
      <c r="E34" s="77">
        <v>1</v>
      </c>
      <c r="F34" s="103">
        <v>45566</v>
      </c>
      <c r="H34" s="78">
        <v>69400</v>
      </c>
      <c r="J34" s="100">
        <f>IF($F34&lt;DATE(Assumptions!$B$7,1,1),1,IF(YEAR($F34)&gt;Assumptions!$B$7,13,MONTH($F34)))</f>
        <v>1</v>
      </c>
      <c r="K34" s="100">
        <f>IF(OR($G34="",$G34&gt;Assumptions!$B$6),Assumptions!$B$8,IF($G34&lt;DATE(Assumptions!$B$7,1,1),0,MONTH($G34)))</f>
        <v>8</v>
      </c>
      <c r="L34" s="113">
        <f t="shared" si="0"/>
        <v>8</v>
      </c>
      <c r="M34" s="82">
        <f t="shared" si="1"/>
        <v>46266.666666666664</v>
      </c>
      <c r="N34" s="100">
        <f>IF(AND($F34&lt;=Assumptions!$B$6,OR($G34="",$G34&gt;Assumptions!$B$6)),1,0)</f>
        <v>1</v>
      </c>
      <c r="O34" s="82">
        <f t="shared" si="2"/>
        <v>69400</v>
      </c>
    </row>
    <row r="35" spans="1:15" x14ac:dyDescent="0.25">
      <c r="A35" s="76" t="s">
        <v>1066</v>
      </c>
      <c r="B35" s="76" t="s">
        <v>432</v>
      </c>
      <c r="C35" s="76" t="s">
        <v>353</v>
      </c>
      <c r="D35" s="76" t="s">
        <v>401</v>
      </c>
      <c r="E35" s="77">
        <v>2</v>
      </c>
      <c r="F35" s="103">
        <v>43952</v>
      </c>
      <c r="H35" s="78">
        <v>92600</v>
      </c>
      <c r="J35" s="100">
        <f>IF($F35&lt;DATE(Assumptions!$B$7,1,1),1,IF(YEAR($F35)&gt;Assumptions!$B$7,13,MONTH($F35)))</f>
        <v>1</v>
      </c>
      <c r="K35" s="100">
        <f>IF(OR($G35="",$G35&gt;Assumptions!$B$6),Assumptions!$B$8,IF($G35&lt;DATE(Assumptions!$B$7,1,1),0,MONTH($G35)))</f>
        <v>8</v>
      </c>
      <c r="L35" s="113">
        <f t="shared" si="0"/>
        <v>8</v>
      </c>
      <c r="M35" s="82">
        <f t="shared" si="1"/>
        <v>61733.333333333336</v>
      </c>
      <c r="N35" s="100">
        <f>IF(AND($F35&lt;=Assumptions!$B$6,OR($G35="",$G35&gt;Assumptions!$B$6)),1,0)</f>
        <v>1</v>
      </c>
      <c r="O35" s="82">
        <f t="shared" si="2"/>
        <v>92600</v>
      </c>
    </row>
    <row r="36" spans="1:15" x14ac:dyDescent="0.25">
      <c r="A36" s="76" t="s">
        <v>1067</v>
      </c>
      <c r="B36" s="76" t="s">
        <v>433</v>
      </c>
      <c r="C36" s="76" t="s">
        <v>353</v>
      </c>
      <c r="D36" s="76" t="s">
        <v>398</v>
      </c>
      <c r="E36" s="77">
        <v>3</v>
      </c>
      <c r="F36" s="103">
        <v>44805</v>
      </c>
      <c r="H36" s="78">
        <v>114000</v>
      </c>
      <c r="J36" s="100">
        <f>IF($F36&lt;DATE(Assumptions!$B$7,1,1),1,IF(YEAR($F36)&gt;Assumptions!$B$7,13,MONTH($F36)))</f>
        <v>1</v>
      </c>
      <c r="K36" s="100">
        <f>IF(OR($G36="",$G36&gt;Assumptions!$B$6),Assumptions!$B$8,IF($G36&lt;DATE(Assumptions!$B$7,1,1),0,MONTH($G36)))</f>
        <v>8</v>
      </c>
      <c r="L36" s="113">
        <f t="shared" si="0"/>
        <v>8</v>
      </c>
      <c r="M36" s="82">
        <f t="shared" si="1"/>
        <v>76000</v>
      </c>
      <c r="N36" s="100">
        <f>IF(AND($F36&lt;=Assumptions!$B$6,OR($G36="",$G36&gt;Assumptions!$B$6)),1,0)</f>
        <v>1</v>
      </c>
      <c r="O36" s="82">
        <f t="shared" si="2"/>
        <v>114000</v>
      </c>
    </row>
    <row r="37" spans="1:15" x14ac:dyDescent="0.25">
      <c r="A37" s="76" t="s">
        <v>1068</v>
      </c>
      <c r="B37" s="76" t="s">
        <v>434</v>
      </c>
      <c r="C37" s="76" t="s">
        <v>353</v>
      </c>
      <c r="D37" s="76" t="s">
        <v>407</v>
      </c>
      <c r="E37" s="77">
        <v>1</v>
      </c>
      <c r="F37" s="103">
        <v>42917</v>
      </c>
      <c r="H37" s="78">
        <v>61900</v>
      </c>
      <c r="J37" s="100">
        <f>IF($F37&lt;DATE(Assumptions!$B$7,1,1),1,IF(YEAR($F37)&gt;Assumptions!$B$7,13,MONTH($F37)))</f>
        <v>1</v>
      </c>
      <c r="K37" s="100">
        <f>IF(OR($G37="",$G37&gt;Assumptions!$B$6),Assumptions!$B$8,IF($G37&lt;DATE(Assumptions!$B$7,1,1),0,MONTH($G37)))</f>
        <v>8</v>
      </c>
      <c r="L37" s="113">
        <f t="shared" si="0"/>
        <v>8</v>
      </c>
      <c r="M37" s="82">
        <f t="shared" si="1"/>
        <v>41266.666666666664</v>
      </c>
      <c r="N37" s="100">
        <f>IF(AND($F37&lt;=Assumptions!$B$6,OR($G37="",$G37&gt;Assumptions!$B$6)),1,0)</f>
        <v>1</v>
      </c>
      <c r="O37" s="82">
        <f t="shared" si="2"/>
        <v>61900</v>
      </c>
    </row>
    <row r="38" spans="1:15" x14ac:dyDescent="0.25">
      <c r="A38" s="76" t="s">
        <v>1069</v>
      </c>
      <c r="B38" s="76" t="s">
        <v>435</v>
      </c>
      <c r="C38" s="76" t="s">
        <v>353</v>
      </c>
      <c r="D38" s="76" t="s">
        <v>398</v>
      </c>
      <c r="E38" s="77">
        <v>3</v>
      </c>
      <c r="F38" s="103">
        <v>42979</v>
      </c>
      <c r="H38" s="78">
        <v>114400</v>
      </c>
      <c r="J38" s="100">
        <f>IF($F38&lt;DATE(Assumptions!$B$7,1,1),1,IF(YEAR($F38)&gt;Assumptions!$B$7,13,MONTH($F38)))</f>
        <v>1</v>
      </c>
      <c r="K38" s="100">
        <f>IF(OR($G38="",$G38&gt;Assumptions!$B$6),Assumptions!$B$8,IF($G38&lt;DATE(Assumptions!$B$7,1,1),0,MONTH($G38)))</f>
        <v>8</v>
      </c>
      <c r="L38" s="113">
        <f t="shared" si="0"/>
        <v>8</v>
      </c>
      <c r="M38" s="82">
        <f t="shared" si="1"/>
        <v>76266.666666666672</v>
      </c>
      <c r="N38" s="100">
        <f>IF(AND($F38&lt;=Assumptions!$B$6,OR($G38="",$G38&gt;Assumptions!$B$6)),1,0)</f>
        <v>1</v>
      </c>
      <c r="O38" s="82">
        <f t="shared" si="2"/>
        <v>114400</v>
      </c>
    </row>
    <row r="39" spans="1:15" x14ac:dyDescent="0.25">
      <c r="A39" s="76" t="s">
        <v>1070</v>
      </c>
      <c r="B39" s="76" t="s">
        <v>436</v>
      </c>
      <c r="C39" s="76" t="s">
        <v>353</v>
      </c>
      <c r="D39" s="76" t="s">
        <v>405</v>
      </c>
      <c r="E39" s="77">
        <v>1</v>
      </c>
      <c r="F39" s="103">
        <v>43831</v>
      </c>
      <c r="H39" s="78">
        <v>55500</v>
      </c>
      <c r="J39" s="100">
        <f>IF($F39&lt;DATE(Assumptions!$B$7,1,1),1,IF(YEAR($F39)&gt;Assumptions!$B$7,13,MONTH($F39)))</f>
        <v>1</v>
      </c>
      <c r="K39" s="100">
        <f>IF(OR($G39="",$G39&gt;Assumptions!$B$6),Assumptions!$B$8,IF($G39&lt;DATE(Assumptions!$B$7,1,1),0,MONTH($G39)))</f>
        <v>8</v>
      </c>
      <c r="L39" s="113">
        <f t="shared" si="0"/>
        <v>8</v>
      </c>
      <c r="M39" s="82">
        <f t="shared" si="1"/>
        <v>37000</v>
      </c>
      <c r="N39" s="100">
        <f>IF(AND($F39&lt;=Assumptions!$B$6,OR($G39="",$G39&gt;Assumptions!$B$6)),1,0)</f>
        <v>1</v>
      </c>
      <c r="O39" s="82">
        <f t="shared" si="2"/>
        <v>55500</v>
      </c>
    </row>
    <row r="40" spans="1:15" x14ac:dyDescent="0.25">
      <c r="A40" s="76" t="s">
        <v>1071</v>
      </c>
      <c r="B40" s="76" t="s">
        <v>437</v>
      </c>
      <c r="C40" s="76" t="s">
        <v>353</v>
      </c>
      <c r="D40" s="76" t="s">
        <v>398</v>
      </c>
      <c r="E40" s="77">
        <v>3</v>
      </c>
      <c r="F40" s="103">
        <v>43221</v>
      </c>
      <c r="H40" s="78">
        <v>132300</v>
      </c>
      <c r="J40" s="100">
        <f>IF($F40&lt;DATE(Assumptions!$B$7,1,1),1,IF(YEAR($F40)&gt;Assumptions!$B$7,13,MONTH($F40)))</f>
        <v>1</v>
      </c>
      <c r="K40" s="100">
        <f>IF(OR($G40="",$G40&gt;Assumptions!$B$6),Assumptions!$B$8,IF($G40&lt;DATE(Assumptions!$B$7,1,1),0,MONTH($G40)))</f>
        <v>8</v>
      </c>
      <c r="L40" s="113">
        <f t="shared" si="0"/>
        <v>8</v>
      </c>
      <c r="M40" s="82">
        <f t="shared" si="1"/>
        <v>88200</v>
      </c>
      <c r="N40" s="100">
        <f>IF(AND($F40&lt;=Assumptions!$B$6,OR($G40="",$G40&gt;Assumptions!$B$6)),1,0)</f>
        <v>1</v>
      </c>
      <c r="O40" s="82">
        <f t="shared" si="2"/>
        <v>132300</v>
      </c>
    </row>
    <row r="41" spans="1:15" x14ac:dyDescent="0.25">
      <c r="A41" s="76" t="s">
        <v>1072</v>
      </c>
      <c r="B41" s="76" t="s">
        <v>438</v>
      </c>
      <c r="C41" s="76" t="s">
        <v>353</v>
      </c>
      <c r="D41" s="76" t="s">
        <v>407</v>
      </c>
      <c r="E41" s="77">
        <v>1</v>
      </c>
      <c r="F41" s="103">
        <v>45627</v>
      </c>
      <c r="G41" s="103">
        <v>46053</v>
      </c>
      <c r="H41" s="78">
        <v>57200</v>
      </c>
      <c r="J41" s="100">
        <f>IF($F41&lt;DATE(Assumptions!$B$7,1,1),1,IF(YEAR($F41)&gt;Assumptions!$B$7,13,MONTH($F41)))</f>
        <v>1</v>
      </c>
      <c r="K41" s="100">
        <f>IF(OR($G41="",$G41&gt;Assumptions!$B$6),Assumptions!$B$8,IF($G41&lt;DATE(Assumptions!$B$7,1,1),0,MONTH($G41)))</f>
        <v>1</v>
      </c>
      <c r="L41" s="113">
        <f t="shared" si="0"/>
        <v>1</v>
      </c>
      <c r="M41" s="82">
        <f t="shared" si="1"/>
        <v>4766.666666666667</v>
      </c>
      <c r="N41" s="100">
        <f>IF(AND($F41&lt;=Assumptions!$B$6,OR($G41="",$G41&gt;Assumptions!$B$6)),1,0)</f>
        <v>0</v>
      </c>
      <c r="O41" s="82">
        <f t="shared" si="2"/>
        <v>0</v>
      </c>
    </row>
    <row r="42" spans="1:15" x14ac:dyDescent="0.25">
      <c r="A42" s="76" t="s">
        <v>1073</v>
      </c>
      <c r="B42" s="76" t="s">
        <v>438</v>
      </c>
      <c r="C42" s="76" t="s">
        <v>353</v>
      </c>
      <c r="D42" s="76" t="s">
        <v>407</v>
      </c>
      <c r="E42" s="77">
        <v>1</v>
      </c>
      <c r="F42" s="103">
        <v>46082</v>
      </c>
      <c r="H42" s="78">
        <v>60000</v>
      </c>
      <c r="J42" s="100">
        <f>IF($F42&lt;DATE(Assumptions!$B$7,1,1),1,IF(YEAR($F42)&gt;Assumptions!$B$7,13,MONTH($F42)))</f>
        <v>3</v>
      </c>
      <c r="K42" s="100">
        <f>IF(OR($G42="",$G42&gt;Assumptions!$B$6),Assumptions!$B$8,IF($G42&lt;DATE(Assumptions!$B$7,1,1),0,MONTH($G42)))</f>
        <v>8</v>
      </c>
      <c r="L42" s="113">
        <f t="shared" si="0"/>
        <v>6</v>
      </c>
      <c r="M42" s="82">
        <f t="shared" si="1"/>
        <v>30000</v>
      </c>
      <c r="N42" s="100">
        <f>IF(AND($F42&lt;=Assumptions!$B$6,OR($G42="",$G42&gt;Assumptions!$B$6)),1,0)</f>
        <v>1</v>
      </c>
      <c r="O42" s="82">
        <f t="shared" si="2"/>
        <v>60000</v>
      </c>
    </row>
    <row r="43" spans="1:15" x14ac:dyDescent="0.25">
      <c r="A43" s="76" t="s">
        <v>1074</v>
      </c>
      <c r="B43" s="76" t="s">
        <v>439</v>
      </c>
      <c r="C43" s="76" t="s">
        <v>353</v>
      </c>
      <c r="D43" s="76" t="s">
        <v>405</v>
      </c>
      <c r="E43" s="77">
        <v>1</v>
      </c>
      <c r="F43" s="103">
        <v>41883</v>
      </c>
      <c r="H43" s="78">
        <v>65400</v>
      </c>
      <c r="J43" s="100">
        <f>IF($F43&lt;DATE(Assumptions!$B$7,1,1),1,IF(YEAR($F43)&gt;Assumptions!$B$7,13,MONTH($F43)))</f>
        <v>1</v>
      </c>
      <c r="K43" s="100">
        <f>IF(OR($G43="",$G43&gt;Assumptions!$B$6),Assumptions!$B$8,IF($G43&lt;DATE(Assumptions!$B$7,1,1),0,MONTH($G43)))</f>
        <v>8</v>
      </c>
      <c r="L43" s="113">
        <f t="shared" si="0"/>
        <v>8</v>
      </c>
      <c r="M43" s="82">
        <f t="shared" si="1"/>
        <v>43600</v>
      </c>
      <c r="N43" s="100">
        <f>IF(AND($F43&lt;=Assumptions!$B$6,OR($G43="",$G43&gt;Assumptions!$B$6)),1,0)</f>
        <v>1</v>
      </c>
      <c r="O43" s="82">
        <f t="shared" si="2"/>
        <v>65400</v>
      </c>
    </row>
    <row r="44" spans="1:15" x14ac:dyDescent="0.25">
      <c r="A44" s="76" t="s">
        <v>1075</v>
      </c>
      <c r="B44" s="76" t="s">
        <v>440</v>
      </c>
      <c r="C44" s="76" t="s">
        <v>353</v>
      </c>
      <c r="D44" s="76" t="s">
        <v>407</v>
      </c>
      <c r="E44" s="77">
        <v>1</v>
      </c>
      <c r="F44" s="103">
        <v>41974</v>
      </c>
      <c r="H44" s="78">
        <v>65500</v>
      </c>
      <c r="J44" s="100">
        <f>IF($F44&lt;DATE(Assumptions!$B$7,1,1),1,IF(YEAR($F44)&gt;Assumptions!$B$7,13,MONTH($F44)))</f>
        <v>1</v>
      </c>
      <c r="K44" s="100">
        <f>IF(OR($G44="",$G44&gt;Assumptions!$B$6),Assumptions!$B$8,IF($G44&lt;DATE(Assumptions!$B$7,1,1),0,MONTH($G44)))</f>
        <v>8</v>
      </c>
      <c r="L44" s="113">
        <f t="shared" si="0"/>
        <v>8</v>
      </c>
      <c r="M44" s="82">
        <f t="shared" si="1"/>
        <v>43666.666666666664</v>
      </c>
      <c r="N44" s="100">
        <f>IF(AND($F44&lt;=Assumptions!$B$6,OR($G44="",$G44&gt;Assumptions!$B$6)),1,0)</f>
        <v>1</v>
      </c>
      <c r="O44" s="82">
        <f t="shared" si="2"/>
        <v>65500</v>
      </c>
    </row>
    <row r="45" spans="1:15" x14ac:dyDescent="0.25">
      <c r="A45" s="76" t="s">
        <v>1076</v>
      </c>
      <c r="B45" s="76" t="s">
        <v>441</v>
      </c>
      <c r="C45" s="76" t="s">
        <v>353</v>
      </c>
      <c r="D45" s="76" t="s">
        <v>407</v>
      </c>
      <c r="E45" s="77">
        <v>1</v>
      </c>
      <c r="F45" s="103">
        <v>45962</v>
      </c>
      <c r="G45" s="103">
        <v>46173</v>
      </c>
      <c r="H45" s="78">
        <v>69400</v>
      </c>
      <c r="J45" s="100">
        <f>IF($F45&lt;DATE(Assumptions!$B$7,1,1),1,IF(YEAR($F45)&gt;Assumptions!$B$7,13,MONTH($F45)))</f>
        <v>1</v>
      </c>
      <c r="K45" s="100">
        <f>IF(OR($G45="",$G45&gt;Assumptions!$B$6),Assumptions!$B$8,IF($G45&lt;DATE(Assumptions!$B$7,1,1),0,MONTH($G45)))</f>
        <v>5</v>
      </c>
      <c r="L45" s="113">
        <f t="shared" si="0"/>
        <v>5</v>
      </c>
      <c r="M45" s="82">
        <f t="shared" si="1"/>
        <v>28916.666666666668</v>
      </c>
      <c r="N45" s="100">
        <f>IF(AND($F45&lt;=Assumptions!$B$6,OR($G45="",$G45&gt;Assumptions!$B$6)),1,0)</f>
        <v>0</v>
      </c>
      <c r="O45" s="82">
        <f t="shared" si="2"/>
        <v>0</v>
      </c>
    </row>
    <row r="46" spans="1:15" x14ac:dyDescent="0.25">
      <c r="A46" s="76" t="s">
        <v>1077</v>
      </c>
      <c r="B46" s="76" t="s">
        <v>441</v>
      </c>
      <c r="C46" s="76" t="s">
        <v>353</v>
      </c>
      <c r="D46" s="76" t="s">
        <v>407</v>
      </c>
      <c r="E46" s="77">
        <v>1</v>
      </c>
      <c r="F46" s="103">
        <v>46174</v>
      </c>
      <c r="H46" s="78">
        <v>73500</v>
      </c>
      <c r="J46" s="100">
        <f>IF($F46&lt;DATE(Assumptions!$B$7,1,1),1,IF(YEAR($F46)&gt;Assumptions!$B$7,13,MONTH($F46)))</f>
        <v>6</v>
      </c>
      <c r="K46" s="100">
        <f>IF(OR($G46="",$G46&gt;Assumptions!$B$6),Assumptions!$B$8,IF($G46&lt;DATE(Assumptions!$B$7,1,1),0,MONTH($G46)))</f>
        <v>8</v>
      </c>
      <c r="L46" s="113">
        <f t="shared" si="0"/>
        <v>3</v>
      </c>
      <c r="M46" s="82">
        <f t="shared" si="1"/>
        <v>18375</v>
      </c>
      <c r="N46" s="100">
        <f>IF(AND($F46&lt;=Assumptions!$B$6,OR($G46="",$G46&gt;Assumptions!$B$6)),1,0)</f>
        <v>1</v>
      </c>
      <c r="O46" s="82">
        <f t="shared" si="2"/>
        <v>73500</v>
      </c>
    </row>
    <row r="47" spans="1:15" x14ac:dyDescent="0.25">
      <c r="A47" s="76" t="s">
        <v>1078</v>
      </c>
      <c r="B47" s="76" t="s">
        <v>442</v>
      </c>
      <c r="C47" s="76" t="s">
        <v>353</v>
      </c>
      <c r="D47" s="76" t="s">
        <v>398</v>
      </c>
      <c r="E47" s="77">
        <v>3</v>
      </c>
      <c r="F47" s="103">
        <v>43282</v>
      </c>
      <c r="H47" s="78">
        <v>113300</v>
      </c>
      <c r="J47" s="100">
        <f>IF($F47&lt;DATE(Assumptions!$B$7,1,1),1,IF(YEAR($F47)&gt;Assumptions!$B$7,13,MONTH($F47)))</f>
        <v>1</v>
      </c>
      <c r="K47" s="100">
        <f>IF(OR($G47="",$G47&gt;Assumptions!$B$6),Assumptions!$B$8,IF($G47&lt;DATE(Assumptions!$B$7,1,1),0,MONTH($G47)))</f>
        <v>8</v>
      </c>
      <c r="L47" s="113">
        <f t="shared" si="0"/>
        <v>8</v>
      </c>
      <c r="M47" s="82">
        <f t="shared" si="1"/>
        <v>75533.333333333328</v>
      </c>
      <c r="N47" s="100">
        <f>IF(AND($F47&lt;=Assumptions!$B$6,OR($G47="",$G47&gt;Assumptions!$B$6)),1,0)</f>
        <v>1</v>
      </c>
      <c r="O47" s="82">
        <f t="shared" si="2"/>
        <v>113300</v>
      </c>
    </row>
    <row r="48" spans="1:15" x14ac:dyDescent="0.25">
      <c r="A48" s="76" t="s">
        <v>1079</v>
      </c>
      <c r="B48" s="76" t="s">
        <v>443</v>
      </c>
      <c r="C48" s="76" t="s">
        <v>353</v>
      </c>
      <c r="D48" s="76" t="s">
        <v>405</v>
      </c>
      <c r="E48" s="77">
        <v>1</v>
      </c>
      <c r="F48" s="103">
        <v>43374</v>
      </c>
      <c r="H48" s="78">
        <v>64300</v>
      </c>
      <c r="J48" s="100">
        <f>IF($F48&lt;DATE(Assumptions!$B$7,1,1),1,IF(YEAR($F48)&gt;Assumptions!$B$7,13,MONTH($F48)))</f>
        <v>1</v>
      </c>
      <c r="K48" s="100">
        <f>IF(OR($G48="",$G48&gt;Assumptions!$B$6),Assumptions!$B$8,IF($G48&lt;DATE(Assumptions!$B$7,1,1),0,MONTH($G48)))</f>
        <v>8</v>
      </c>
      <c r="L48" s="113">
        <f t="shared" si="0"/>
        <v>8</v>
      </c>
      <c r="M48" s="82">
        <f t="shared" si="1"/>
        <v>42866.666666666664</v>
      </c>
      <c r="N48" s="100">
        <f>IF(AND($F48&lt;=Assumptions!$B$6,OR($G48="",$G48&gt;Assumptions!$B$6)),1,0)</f>
        <v>1</v>
      </c>
      <c r="O48" s="82">
        <f t="shared" si="2"/>
        <v>64300</v>
      </c>
    </row>
    <row r="49" spans="1:15" x14ac:dyDescent="0.25">
      <c r="A49" s="76" t="s">
        <v>1080</v>
      </c>
      <c r="B49" s="76" t="s">
        <v>444</v>
      </c>
      <c r="C49" s="76" t="s">
        <v>353</v>
      </c>
      <c r="D49" s="76" t="s">
        <v>398</v>
      </c>
      <c r="E49" s="77">
        <v>3</v>
      </c>
      <c r="F49" s="103">
        <v>45352</v>
      </c>
      <c r="H49" s="78">
        <v>121400</v>
      </c>
      <c r="J49" s="100">
        <f>IF($F49&lt;DATE(Assumptions!$B$7,1,1),1,IF(YEAR($F49)&gt;Assumptions!$B$7,13,MONTH($F49)))</f>
        <v>1</v>
      </c>
      <c r="K49" s="100">
        <f>IF(OR($G49="",$G49&gt;Assumptions!$B$6),Assumptions!$B$8,IF($G49&lt;DATE(Assumptions!$B$7,1,1),0,MONTH($G49)))</f>
        <v>8</v>
      </c>
      <c r="L49" s="113">
        <f t="shared" si="0"/>
        <v>8</v>
      </c>
      <c r="M49" s="82">
        <f t="shared" si="1"/>
        <v>80933.333333333328</v>
      </c>
      <c r="N49" s="100">
        <f>IF(AND($F49&lt;=Assumptions!$B$6,OR($G49="",$G49&gt;Assumptions!$B$6)),1,0)</f>
        <v>1</v>
      </c>
      <c r="O49" s="82">
        <f t="shared" si="2"/>
        <v>121400</v>
      </c>
    </row>
    <row r="50" spans="1:15" x14ac:dyDescent="0.25">
      <c r="A50" s="76" t="s">
        <v>1081</v>
      </c>
      <c r="B50" s="76" t="s">
        <v>445</v>
      </c>
      <c r="C50" s="76" t="s">
        <v>353</v>
      </c>
      <c r="D50" s="76" t="s">
        <v>446</v>
      </c>
      <c r="E50" s="77">
        <v>4</v>
      </c>
      <c r="F50" s="103">
        <v>43800</v>
      </c>
      <c r="H50" s="78">
        <v>192700</v>
      </c>
      <c r="J50" s="100">
        <f>IF($F50&lt;DATE(Assumptions!$B$7,1,1),1,IF(YEAR($F50)&gt;Assumptions!$B$7,13,MONTH($F50)))</f>
        <v>1</v>
      </c>
      <c r="K50" s="100">
        <f>IF(OR($G50="",$G50&gt;Assumptions!$B$6),Assumptions!$B$8,IF($G50&lt;DATE(Assumptions!$B$7,1,1),0,MONTH($G50)))</f>
        <v>8</v>
      </c>
      <c r="L50" s="113">
        <f t="shared" si="0"/>
        <v>8</v>
      </c>
      <c r="M50" s="82">
        <f t="shared" si="1"/>
        <v>128466.66666666667</v>
      </c>
      <c r="N50" s="100">
        <f>IF(AND($F50&lt;=Assumptions!$B$6,OR($G50="",$G50&gt;Assumptions!$B$6)),1,0)</f>
        <v>1</v>
      </c>
      <c r="O50" s="82">
        <f t="shared" si="2"/>
        <v>192700</v>
      </c>
    </row>
    <row r="51" spans="1:15" x14ac:dyDescent="0.25">
      <c r="A51" s="76" t="s">
        <v>1082</v>
      </c>
      <c r="B51" s="76" t="s">
        <v>447</v>
      </c>
      <c r="C51" s="76" t="s">
        <v>353</v>
      </c>
      <c r="D51" s="76" t="s">
        <v>407</v>
      </c>
      <c r="E51" s="77">
        <v>1</v>
      </c>
      <c r="F51" s="103">
        <v>43739</v>
      </c>
      <c r="H51" s="78">
        <v>54100</v>
      </c>
      <c r="J51" s="100">
        <f>IF($F51&lt;DATE(Assumptions!$B$7,1,1),1,IF(YEAR($F51)&gt;Assumptions!$B$7,13,MONTH($F51)))</f>
        <v>1</v>
      </c>
      <c r="K51" s="100">
        <f>IF(OR($G51="",$G51&gt;Assumptions!$B$6),Assumptions!$B$8,IF($G51&lt;DATE(Assumptions!$B$7,1,1),0,MONTH($G51)))</f>
        <v>8</v>
      </c>
      <c r="L51" s="113">
        <f t="shared" si="0"/>
        <v>8</v>
      </c>
      <c r="M51" s="82">
        <f t="shared" si="1"/>
        <v>36066.666666666664</v>
      </c>
      <c r="N51" s="100">
        <f>IF(AND($F51&lt;=Assumptions!$B$6,OR($G51="",$G51&gt;Assumptions!$B$6)),1,0)</f>
        <v>1</v>
      </c>
      <c r="O51" s="82">
        <f t="shared" si="2"/>
        <v>54100</v>
      </c>
    </row>
    <row r="52" spans="1:15" x14ac:dyDescent="0.25">
      <c r="A52" s="76" t="s">
        <v>1083</v>
      </c>
      <c r="B52" s="76" t="s">
        <v>448</v>
      </c>
      <c r="C52" s="76" t="s">
        <v>353</v>
      </c>
      <c r="D52" s="76" t="s">
        <v>398</v>
      </c>
      <c r="E52" s="77">
        <v>3</v>
      </c>
      <c r="F52" s="103">
        <v>45809</v>
      </c>
      <c r="H52" s="78">
        <v>128600</v>
      </c>
      <c r="J52" s="100">
        <f>IF($F52&lt;DATE(Assumptions!$B$7,1,1),1,IF(YEAR($F52)&gt;Assumptions!$B$7,13,MONTH($F52)))</f>
        <v>1</v>
      </c>
      <c r="K52" s="100">
        <f>IF(OR($G52="",$G52&gt;Assumptions!$B$6),Assumptions!$B$8,IF($G52&lt;DATE(Assumptions!$B$7,1,1),0,MONTH($G52)))</f>
        <v>8</v>
      </c>
      <c r="L52" s="113">
        <f t="shared" si="0"/>
        <v>8</v>
      </c>
      <c r="M52" s="82">
        <f t="shared" si="1"/>
        <v>85733.333333333328</v>
      </c>
      <c r="N52" s="100">
        <f>IF(AND($F52&lt;=Assumptions!$B$6,OR($G52="",$G52&gt;Assumptions!$B$6)),1,0)</f>
        <v>1</v>
      </c>
      <c r="O52" s="82">
        <f t="shared" si="2"/>
        <v>128600</v>
      </c>
    </row>
    <row r="53" spans="1:15" x14ac:dyDescent="0.25">
      <c r="A53" s="76" t="s">
        <v>1084</v>
      </c>
      <c r="B53" s="76" t="s">
        <v>449</v>
      </c>
      <c r="C53" s="76" t="s">
        <v>353</v>
      </c>
      <c r="D53" s="76" t="s">
        <v>401</v>
      </c>
      <c r="E53" s="77">
        <v>2</v>
      </c>
      <c r="F53" s="103">
        <v>41821</v>
      </c>
      <c r="H53" s="78">
        <v>90600</v>
      </c>
      <c r="J53" s="100">
        <f>IF($F53&lt;DATE(Assumptions!$B$7,1,1),1,IF(YEAR($F53)&gt;Assumptions!$B$7,13,MONTH($F53)))</f>
        <v>1</v>
      </c>
      <c r="K53" s="100">
        <f>IF(OR($G53="",$G53&gt;Assumptions!$B$6),Assumptions!$B$8,IF($G53&lt;DATE(Assumptions!$B$7,1,1),0,MONTH($G53)))</f>
        <v>8</v>
      </c>
      <c r="L53" s="113">
        <f t="shared" si="0"/>
        <v>8</v>
      </c>
      <c r="M53" s="82">
        <f t="shared" si="1"/>
        <v>60400</v>
      </c>
      <c r="N53" s="100">
        <f>IF(AND($F53&lt;=Assumptions!$B$6,OR($G53="",$G53&gt;Assumptions!$B$6)),1,0)</f>
        <v>1</v>
      </c>
      <c r="O53" s="82">
        <f t="shared" si="2"/>
        <v>90600</v>
      </c>
    </row>
    <row r="54" spans="1:15" x14ac:dyDescent="0.25">
      <c r="A54" s="76" t="s">
        <v>1085</v>
      </c>
      <c r="B54" s="76" t="s">
        <v>450</v>
      </c>
      <c r="C54" s="76" t="s">
        <v>353</v>
      </c>
      <c r="D54" s="76" t="s">
        <v>405</v>
      </c>
      <c r="E54" s="77">
        <v>1</v>
      </c>
      <c r="F54" s="103">
        <v>43040</v>
      </c>
      <c r="H54" s="78">
        <v>61700</v>
      </c>
      <c r="J54" s="100">
        <f>IF($F54&lt;DATE(Assumptions!$B$7,1,1),1,IF(YEAR($F54)&gt;Assumptions!$B$7,13,MONTH($F54)))</f>
        <v>1</v>
      </c>
      <c r="K54" s="100">
        <f>IF(OR($G54="",$G54&gt;Assumptions!$B$6),Assumptions!$B$8,IF($G54&lt;DATE(Assumptions!$B$7,1,1),0,MONTH($G54)))</f>
        <v>8</v>
      </c>
      <c r="L54" s="113">
        <f t="shared" si="0"/>
        <v>8</v>
      </c>
      <c r="M54" s="82">
        <f t="shared" si="1"/>
        <v>41133.333333333336</v>
      </c>
      <c r="N54" s="100">
        <f>IF(AND($F54&lt;=Assumptions!$B$6,OR($G54="",$G54&gt;Assumptions!$B$6)),1,0)</f>
        <v>1</v>
      </c>
      <c r="O54" s="82">
        <f t="shared" si="2"/>
        <v>61700</v>
      </c>
    </row>
    <row r="55" spans="1:15" x14ac:dyDescent="0.25">
      <c r="A55" s="76" t="s">
        <v>1086</v>
      </c>
      <c r="B55" s="76" t="s">
        <v>451</v>
      </c>
      <c r="C55" s="76" t="s">
        <v>353</v>
      </c>
      <c r="D55" s="76" t="s">
        <v>398</v>
      </c>
      <c r="E55" s="77">
        <v>3</v>
      </c>
      <c r="F55" s="103">
        <v>42339</v>
      </c>
      <c r="H55" s="78">
        <v>104800</v>
      </c>
      <c r="J55" s="100">
        <f>IF($F55&lt;DATE(Assumptions!$B$7,1,1),1,IF(YEAR($F55)&gt;Assumptions!$B$7,13,MONTH($F55)))</f>
        <v>1</v>
      </c>
      <c r="K55" s="100">
        <f>IF(OR($G55="",$G55&gt;Assumptions!$B$6),Assumptions!$B$8,IF($G55&lt;DATE(Assumptions!$B$7,1,1),0,MONTH($G55)))</f>
        <v>8</v>
      </c>
      <c r="L55" s="113">
        <f t="shared" si="0"/>
        <v>8</v>
      </c>
      <c r="M55" s="82">
        <f t="shared" si="1"/>
        <v>69866.666666666672</v>
      </c>
      <c r="N55" s="100">
        <f>IF(AND($F55&lt;=Assumptions!$B$6,OR($G55="",$G55&gt;Assumptions!$B$6)),1,0)</f>
        <v>1</v>
      </c>
      <c r="O55" s="82">
        <f t="shared" si="2"/>
        <v>104800</v>
      </c>
    </row>
    <row r="56" spans="1:15" x14ac:dyDescent="0.25">
      <c r="A56" s="76" t="s">
        <v>1087</v>
      </c>
      <c r="B56" s="76" t="s">
        <v>452</v>
      </c>
      <c r="C56" s="76" t="s">
        <v>353</v>
      </c>
      <c r="D56" s="76" t="s">
        <v>407</v>
      </c>
      <c r="E56" s="77">
        <v>1</v>
      </c>
      <c r="F56" s="103">
        <v>45597</v>
      </c>
      <c r="H56" s="78">
        <v>65600</v>
      </c>
      <c r="J56" s="100">
        <f>IF($F56&lt;DATE(Assumptions!$B$7,1,1),1,IF(YEAR($F56)&gt;Assumptions!$B$7,13,MONTH($F56)))</f>
        <v>1</v>
      </c>
      <c r="K56" s="100">
        <f>IF(OR($G56="",$G56&gt;Assumptions!$B$6),Assumptions!$B$8,IF($G56&lt;DATE(Assumptions!$B$7,1,1),0,MONTH($G56)))</f>
        <v>8</v>
      </c>
      <c r="L56" s="113">
        <f t="shared" si="0"/>
        <v>8</v>
      </c>
      <c r="M56" s="82">
        <f t="shared" si="1"/>
        <v>43733.333333333336</v>
      </c>
      <c r="N56" s="100">
        <f>IF(AND($F56&lt;=Assumptions!$B$6,OR($G56="",$G56&gt;Assumptions!$B$6)),1,0)</f>
        <v>1</v>
      </c>
      <c r="O56" s="82">
        <f t="shared" si="2"/>
        <v>65600</v>
      </c>
    </row>
    <row r="57" spans="1:15" x14ac:dyDescent="0.25">
      <c r="A57" s="76" t="s">
        <v>1088</v>
      </c>
      <c r="B57" s="76" t="s">
        <v>453</v>
      </c>
      <c r="C57" s="76" t="s">
        <v>353</v>
      </c>
      <c r="D57" s="76" t="s">
        <v>407</v>
      </c>
      <c r="E57" s="77">
        <v>1</v>
      </c>
      <c r="F57" s="103">
        <v>45809</v>
      </c>
      <c r="G57" s="103">
        <v>46081</v>
      </c>
      <c r="H57" s="78">
        <v>52600</v>
      </c>
      <c r="J57" s="100">
        <f>IF($F57&lt;DATE(Assumptions!$B$7,1,1),1,IF(YEAR($F57)&gt;Assumptions!$B$7,13,MONTH($F57)))</f>
        <v>1</v>
      </c>
      <c r="K57" s="100">
        <f>IF(OR($G57="",$G57&gt;Assumptions!$B$6),Assumptions!$B$8,IF($G57&lt;DATE(Assumptions!$B$7,1,1),0,MONTH($G57)))</f>
        <v>2</v>
      </c>
      <c r="L57" s="113">
        <f t="shared" si="0"/>
        <v>2</v>
      </c>
      <c r="M57" s="82">
        <f t="shared" si="1"/>
        <v>8766.6666666666661</v>
      </c>
      <c r="N57" s="100">
        <f>IF(AND($F57&lt;=Assumptions!$B$6,OR($G57="",$G57&gt;Assumptions!$B$6)),1,0)</f>
        <v>0</v>
      </c>
      <c r="O57" s="82">
        <f t="shared" si="2"/>
        <v>0</v>
      </c>
    </row>
    <row r="58" spans="1:15" x14ac:dyDescent="0.25">
      <c r="A58" s="76" t="s">
        <v>1089</v>
      </c>
      <c r="B58" s="76" t="s">
        <v>453</v>
      </c>
      <c r="C58" s="76" t="s">
        <v>353</v>
      </c>
      <c r="D58" s="76" t="s">
        <v>407</v>
      </c>
      <c r="E58" s="77">
        <v>1</v>
      </c>
      <c r="F58" s="103">
        <v>46143</v>
      </c>
      <c r="H58" s="78">
        <v>52500</v>
      </c>
      <c r="J58" s="100">
        <f>IF($F58&lt;DATE(Assumptions!$B$7,1,1),1,IF(YEAR($F58)&gt;Assumptions!$B$7,13,MONTH($F58)))</f>
        <v>5</v>
      </c>
      <c r="K58" s="100">
        <f>IF(OR($G58="",$G58&gt;Assumptions!$B$6),Assumptions!$B$8,IF($G58&lt;DATE(Assumptions!$B$7,1,1),0,MONTH($G58)))</f>
        <v>8</v>
      </c>
      <c r="L58" s="113">
        <f t="shared" si="0"/>
        <v>4</v>
      </c>
      <c r="M58" s="82">
        <f t="shared" si="1"/>
        <v>17500</v>
      </c>
      <c r="N58" s="100">
        <f>IF(AND($F58&lt;=Assumptions!$B$6,OR($G58="",$G58&gt;Assumptions!$B$6)),1,0)</f>
        <v>1</v>
      </c>
      <c r="O58" s="82">
        <f t="shared" si="2"/>
        <v>52500</v>
      </c>
    </row>
    <row r="59" spans="1:15" x14ac:dyDescent="0.25">
      <c r="A59" s="76" t="s">
        <v>1090</v>
      </c>
      <c r="B59" s="76" t="s">
        <v>454</v>
      </c>
      <c r="C59" s="76" t="s">
        <v>353</v>
      </c>
      <c r="D59" s="76" t="s">
        <v>405</v>
      </c>
      <c r="E59" s="77">
        <v>1</v>
      </c>
      <c r="F59" s="103">
        <v>43952</v>
      </c>
      <c r="H59" s="78">
        <v>61000</v>
      </c>
      <c r="J59" s="100">
        <f>IF($F59&lt;DATE(Assumptions!$B$7,1,1),1,IF(YEAR($F59)&gt;Assumptions!$B$7,13,MONTH($F59)))</f>
        <v>1</v>
      </c>
      <c r="K59" s="100">
        <f>IF(OR($G59="",$G59&gt;Assumptions!$B$6),Assumptions!$B$8,IF($G59&lt;DATE(Assumptions!$B$7,1,1),0,MONTH($G59)))</f>
        <v>8</v>
      </c>
      <c r="L59" s="113">
        <f t="shared" si="0"/>
        <v>8</v>
      </c>
      <c r="M59" s="82">
        <f t="shared" si="1"/>
        <v>40666.666666666664</v>
      </c>
      <c r="N59" s="100">
        <f>IF(AND($F59&lt;=Assumptions!$B$6,OR($G59="",$G59&gt;Assumptions!$B$6)),1,0)</f>
        <v>1</v>
      </c>
      <c r="O59" s="82">
        <f t="shared" si="2"/>
        <v>61000</v>
      </c>
    </row>
    <row r="60" spans="1:15" x14ac:dyDescent="0.25">
      <c r="A60" s="76" t="s">
        <v>1091</v>
      </c>
      <c r="B60" s="76" t="s">
        <v>455</v>
      </c>
      <c r="C60" s="76" t="s">
        <v>353</v>
      </c>
      <c r="D60" s="76" t="s">
        <v>405</v>
      </c>
      <c r="E60" s="77">
        <v>1</v>
      </c>
      <c r="F60" s="103">
        <v>45809</v>
      </c>
      <c r="H60" s="78">
        <v>62900</v>
      </c>
      <c r="J60" s="100">
        <f>IF($F60&lt;DATE(Assumptions!$B$7,1,1),1,IF(YEAR($F60)&gt;Assumptions!$B$7,13,MONTH($F60)))</f>
        <v>1</v>
      </c>
      <c r="K60" s="100">
        <f>IF(OR($G60="",$G60&gt;Assumptions!$B$6),Assumptions!$B$8,IF($G60&lt;DATE(Assumptions!$B$7,1,1),0,MONTH($G60)))</f>
        <v>8</v>
      </c>
      <c r="L60" s="113">
        <f t="shared" si="0"/>
        <v>8</v>
      </c>
      <c r="M60" s="82">
        <f t="shared" si="1"/>
        <v>41933.333333333336</v>
      </c>
      <c r="N60" s="100">
        <f>IF(AND($F60&lt;=Assumptions!$B$6,OR($G60="",$G60&gt;Assumptions!$B$6)),1,0)</f>
        <v>1</v>
      </c>
      <c r="O60" s="82">
        <f t="shared" si="2"/>
        <v>62900</v>
      </c>
    </row>
    <row r="61" spans="1:15" x14ac:dyDescent="0.25">
      <c r="A61" s="76" t="s">
        <v>1092</v>
      </c>
      <c r="B61" s="76" t="s">
        <v>456</v>
      </c>
      <c r="C61" s="76" t="s">
        <v>353</v>
      </c>
      <c r="D61" s="76" t="s">
        <v>405</v>
      </c>
      <c r="E61" s="77">
        <v>1</v>
      </c>
      <c r="F61" s="103">
        <v>45566</v>
      </c>
      <c r="H61" s="78">
        <v>58600</v>
      </c>
      <c r="J61" s="100">
        <f>IF($F61&lt;DATE(Assumptions!$B$7,1,1),1,IF(YEAR($F61)&gt;Assumptions!$B$7,13,MONTH($F61)))</f>
        <v>1</v>
      </c>
      <c r="K61" s="100">
        <f>IF(OR($G61="",$G61&gt;Assumptions!$B$6),Assumptions!$B$8,IF($G61&lt;DATE(Assumptions!$B$7,1,1),0,MONTH($G61)))</f>
        <v>8</v>
      </c>
      <c r="L61" s="113">
        <f t="shared" si="0"/>
        <v>8</v>
      </c>
      <c r="M61" s="82">
        <f t="shared" si="1"/>
        <v>39066.666666666664</v>
      </c>
      <c r="N61" s="100">
        <f>IF(AND($F61&lt;=Assumptions!$B$6,OR($G61="",$G61&gt;Assumptions!$B$6)),1,0)</f>
        <v>1</v>
      </c>
      <c r="O61" s="82">
        <f t="shared" si="2"/>
        <v>58600</v>
      </c>
    </row>
    <row r="62" spans="1:15" x14ac:dyDescent="0.25">
      <c r="A62" s="76" t="s">
        <v>1093</v>
      </c>
      <c r="B62" s="76" t="s">
        <v>457</v>
      </c>
      <c r="C62" s="76" t="s">
        <v>353</v>
      </c>
      <c r="D62" s="76" t="s">
        <v>407</v>
      </c>
      <c r="E62" s="77">
        <v>1</v>
      </c>
      <c r="F62" s="103">
        <v>44743</v>
      </c>
      <c r="H62" s="78">
        <v>56800</v>
      </c>
      <c r="J62" s="100">
        <f>IF($F62&lt;DATE(Assumptions!$B$7,1,1),1,IF(YEAR($F62)&gt;Assumptions!$B$7,13,MONTH($F62)))</f>
        <v>1</v>
      </c>
      <c r="K62" s="100">
        <f>IF(OR($G62="",$G62&gt;Assumptions!$B$6),Assumptions!$B$8,IF($G62&lt;DATE(Assumptions!$B$7,1,1),0,MONTH($G62)))</f>
        <v>8</v>
      </c>
      <c r="L62" s="113">
        <f t="shared" si="0"/>
        <v>8</v>
      </c>
      <c r="M62" s="82">
        <f t="shared" si="1"/>
        <v>37866.666666666664</v>
      </c>
      <c r="N62" s="100">
        <f>IF(AND($F62&lt;=Assumptions!$B$6,OR($G62="",$G62&gt;Assumptions!$B$6)),1,0)</f>
        <v>1</v>
      </c>
      <c r="O62" s="82">
        <f t="shared" si="2"/>
        <v>56800</v>
      </c>
    </row>
    <row r="63" spans="1:15" x14ac:dyDescent="0.25">
      <c r="A63" s="76" t="s">
        <v>1094</v>
      </c>
      <c r="B63" s="76" t="s">
        <v>458</v>
      </c>
      <c r="C63" s="76" t="s">
        <v>353</v>
      </c>
      <c r="D63" s="76" t="s">
        <v>407</v>
      </c>
      <c r="E63" s="77">
        <v>1</v>
      </c>
      <c r="F63" s="103">
        <v>43435</v>
      </c>
      <c r="H63" s="78">
        <v>64900</v>
      </c>
      <c r="J63" s="100">
        <f>IF($F63&lt;DATE(Assumptions!$B$7,1,1),1,IF(YEAR($F63)&gt;Assumptions!$B$7,13,MONTH($F63)))</f>
        <v>1</v>
      </c>
      <c r="K63" s="100">
        <f>IF(OR($G63="",$G63&gt;Assumptions!$B$6),Assumptions!$B$8,IF($G63&lt;DATE(Assumptions!$B$7,1,1),0,MONTH($G63)))</f>
        <v>8</v>
      </c>
      <c r="L63" s="113">
        <f t="shared" si="0"/>
        <v>8</v>
      </c>
      <c r="M63" s="82">
        <f t="shared" si="1"/>
        <v>43266.666666666664</v>
      </c>
      <c r="N63" s="100">
        <f>IF(AND($F63&lt;=Assumptions!$B$6,OR($G63="",$G63&gt;Assumptions!$B$6)),1,0)</f>
        <v>1</v>
      </c>
      <c r="O63" s="82">
        <f t="shared" si="2"/>
        <v>64900</v>
      </c>
    </row>
    <row r="64" spans="1:15" x14ac:dyDescent="0.25">
      <c r="A64" s="76" t="s">
        <v>1095</v>
      </c>
      <c r="B64" s="76" t="s">
        <v>459</v>
      </c>
      <c r="C64" s="76" t="s">
        <v>353</v>
      </c>
      <c r="D64" s="76" t="s">
        <v>407</v>
      </c>
      <c r="E64" s="77">
        <v>1</v>
      </c>
      <c r="F64" s="103">
        <v>43132</v>
      </c>
      <c r="H64" s="78">
        <v>54900</v>
      </c>
      <c r="J64" s="100">
        <f>IF($F64&lt;DATE(Assumptions!$B$7,1,1),1,IF(YEAR($F64)&gt;Assumptions!$B$7,13,MONTH($F64)))</f>
        <v>1</v>
      </c>
      <c r="K64" s="100">
        <f>IF(OR($G64="",$G64&gt;Assumptions!$B$6),Assumptions!$B$8,IF($G64&lt;DATE(Assumptions!$B$7,1,1),0,MONTH($G64)))</f>
        <v>8</v>
      </c>
      <c r="L64" s="113">
        <f t="shared" si="0"/>
        <v>8</v>
      </c>
      <c r="M64" s="82">
        <f t="shared" si="1"/>
        <v>36600</v>
      </c>
      <c r="N64" s="100">
        <f>IF(AND($F64&lt;=Assumptions!$B$6,OR($G64="",$G64&gt;Assumptions!$B$6)),1,0)</f>
        <v>1</v>
      </c>
      <c r="O64" s="82">
        <f t="shared" si="2"/>
        <v>54900</v>
      </c>
    </row>
    <row r="65" spans="1:15" x14ac:dyDescent="0.25">
      <c r="A65" s="76" t="s">
        <v>1096</v>
      </c>
      <c r="B65" s="76" t="s">
        <v>460</v>
      </c>
      <c r="C65" s="76" t="s">
        <v>353</v>
      </c>
      <c r="D65" s="76" t="s">
        <v>401</v>
      </c>
      <c r="E65" s="77">
        <v>2</v>
      </c>
      <c r="F65" s="103">
        <v>45901</v>
      </c>
      <c r="H65" s="78">
        <v>84700</v>
      </c>
      <c r="J65" s="100">
        <f>IF($F65&lt;DATE(Assumptions!$B$7,1,1),1,IF(YEAR($F65)&gt;Assumptions!$B$7,13,MONTH($F65)))</f>
        <v>1</v>
      </c>
      <c r="K65" s="100">
        <f>IF(OR($G65="",$G65&gt;Assumptions!$B$6),Assumptions!$B$8,IF($G65&lt;DATE(Assumptions!$B$7,1,1),0,MONTH($G65)))</f>
        <v>8</v>
      </c>
      <c r="L65" s="113">
        <f t="shared" si="0"/>
        <v>8</v>
      </c>
      <c r="M65" s="82">
        <f t="shared" si="1"/>
        <v>56466.666666666664</v>
      </c>
      <c r="N65" s="100">
        <f>IF(AND($F65&lt;=Assumptions!$B$6,OR($G65="",$G65&gt;Assumptions!$B$6)),1,0)</f>
        <v>1</v>
      </c>
      <c r="O65" s="82">
        <f t="shared" si="2"/>
        <v>84700</v>
      </c>
    </row>
    <row r="66" spans="1:15" x14ac:dyDescent="0.25">
      <c r="A66" s="76" t="s">
        <v>1097</v>
      </c>
      <c r="B66" s="76" t="s">
        <v>461</v>
      </c>
      <c r="C66" s="76" t="s">
        <v>353</v>
      </c>
      <c r="D66" s="76" t="s">
        <v>405</v>
      </c>
      <c r="E66" s="77">
        <v>1</v>
      </c>
      <c r="F66" s="103">
        <v>44774</v>
      </c>
      <c r="H66" s="78">
        <v>60000</v>
      </c>
      <c r="J66" s="100">
        <f>IF($F66&lt;DATE(Assumptions!$B$7,1,1),1,IF(YEAR($F66)&gt;Assumptions!$B$7,13,MONTH($F66)))</f>
        <v>1</v>
      </c>
      <c r="K66" s="100">
        <f>IF(OR($G66="",$G66&gt;Assumptions!$B$6),Assumptions!$B$8,IF($G66&lt;DATE(Assumptions!$B$7,1,1),0,MONTH($G66)))</f>
        <v>8</v>
      </c>
      <c r="L66" s="113">
        <f t="shared" si="0"/>
        <v>8</v>
      </c>
      <c r="M66" s="82">
        <f t="shared" si="1"/>
        <v>40000</v>
      </c>
      <c r="N66" s="100">
        <f>IF(AND($F66&lt;=Assumptions!$B$6,OR($G66="",$G66&gt;Assumptions!$B$6)),1,0)</f>
        <v>1</v>
      </c>
      <c r="O66" s="82">
        <f t="shared" si="2"/>
        <v>60000</v>
      </c>
    </row>
    <row r="67" spans="1:15" x14ac:dyDescent="0.25">
      <c r="A67" s="76" t="s">
        <v>1098</v>
      </c>
      <c r="B67" s="76" t="s">
        <v>462</v>
      </c>
      <c r="C67" s="76" t="s">
        <v>353</v>
      </c>
      <c r="D67" s="76" t="s">
        <v>407</v>
      </c>
      <c r="E67" s="77">
        <v>1</v>
      </c>
      <c r="F67" s="103">
        <v>42491</v>
      </c>
      <c r="H67" s="78">
        <v>51800</v>
      </c>
      <c r="J67" s="100">
        <f>IF($F67&lt;DATE(Assumptions!$B$7,1,1),1,IF(YEAR($F67)&gt;Assumptions!$B$7,13,MONTH($F67)))</f>
        <v>1</v>
      </c>
      <c r="K67" s="100">
        <f>IF(OR($G67="",$G67&gt;Assumptions!$B$6),Assumptions!$B$8,IF($G67&lt;DATE(Assumptions!$B$7,1,1),0,MONTH($G67)))</f>
        <v>8</v>
      </c>
      <c r="L67" s="113">
        <f t="shared" si="0"/>
        <v>8</v>
      </c>
      <c r="M67" s="82">
        <f t="shared" si="1"/>
        <v>34533.333333333336</v>
      </c>
      <c r="N67" s="100">
        <f>IF(AND($F67&lt;=Assumptions!$B$6,OR($G67="",$G67&gt;Assumptions!$B$6)),1,0)</f>
        <v>1</v>
      </c>
      <c r="O67" s="82">
        <f t="shared" si="2"/>
        <v>51800</v>
      </c>
    </row>
    <row r="68" spans="1:15" x14ac:dyDescent="0.25">
      <c r="A68" s="76" t="s">
        <v>1099</v>
      </c>
      <c r="B68" s="76" t="s">
        <v>463</v>
      </c>
      <c r="C68" s="76" t="s">
        <v>353</v>
      </c>
      <c r="D68" s="76" t="s">
        <v>401</v>
      </c>
      <c r="E68" s="77">
        <v>2</v>
      </c>
      <c r="F68" s="103">
        <v>45444</v>
      </c>
      <c r="H68" s="78">
        <v>85500</v>
      </c>
      <c r="J68" s="100">
        <f>IF($F68&lt;DATE(Assumptions!$B$7,1,1),1,IF(YEAR($F68)&gt;Assumptions!$B$7,13,MONTH($F68)))</f>
        <v>1</v>
      </c>
      <c r="K68" s="100">
        <f>IF(OR($G68="",$G68&gt;Assumptions!$B$6),Assumptions!$B$8,IF($G68&lt;DATE(Assumptions!$B$7,1,1),0,MONTH($G68)))</f>
        <v>8</v>
      </c>
      <c r="L68" s="113">
        <f t="shared" si="0"/>
        <v>8</v>
      </c>
      <c r="M68" s="82">
        <f t="shared" si="1"/>
        <v>57000</v>
      </c>
      <c r="N68" s="100">
        <f>IF(AND($F68&lt;=Assumptions!$B$6,OR($G68="",$G68&gt;Assumptions!$B$6)),1,0)</f>
        <v>1</v>
      </c>
      <c r="O68" s="82">
        <f t="shared" si="2"/>
        <v>85500</v>
      </c>
    </row>
    <row r="69" spans="1:15" x14ac:dyDescent="0.25">
      <c r="A69" s="76" t="s">
        <v>1100</v>
      </c>
      <c r="B69" s="76" t="s">
        <v>464</v>
      </c>
      <c r="C69" s="76" t="s">
        <v>353</v>
      </c>
      <c r="D69" s="76" t="s">
        <v>398</v>
      </c>
      <c r="E69" s="77">
        <v>3</v>
      </c>
      <c r="F69" s="103">
        <v>43525</v>
      </c>
      <c r="H69" s="78">
        <v>119000</v>
      </c>
      <c r="J69" s="100">
        <f>IF($F69&lt;DATE(Assumptions!$B$7,1,1),1,IF(YEAR($F69)&gt;Assumptions!$B$7,13,MONTH($F69)))</f>
        <v>1</v>
      </c>
      <c r="K69" s="100">
        <f>IF(OR($G69="",$G69&gt;Assumptions!$B$6),Assumptions!$B$8,IF($G69&lt;DATE(Assumptions!$B$7,1,1),0,MONTH($G69)))</f>
        <v>8</v>
      </c>
      <c r="L69" s="113">
        <f t="shared" ref="L69:L132" si="3">MAX(0,K69-J69+1)</f>
        <v>8</v>
      </c>
      <c r="M69" s="82">
        <f t="shared" ref="M69:M132" si="4">$H69*L69/12</f>
        <v>79333.333333333328</v>
      </c>
      <c r="N69" s="100">
        <f>IF(AND($F69&lt;=Assumptions!$B$6,OR($G69="",$G69&gt;Assumptions!$B$6)),1,0)</f>
        <v>1</v>
      </c>
      <c r="O69" s="82">
        <f t="shared" ref="O69:O132" si="5">$H69*N69</f>
        <v>119000</v>
      </c>
    </row>
    <row r="70" spans="1:15" x14ac:dyDescent="0.25">
      <c r="A70" s="76" t="s">
        <v>1101</v>
      </c>
      <c r="B70" s="76" t="s">
        <v>465</v>
      </c>
      <c r="C70" s="76" t="s">
        <v>353</v>
      </c>
      <c r="D70" s="76" t="s">
        <v>407</v>
      </c>
      <c r="E70" s="77">
        <v>1</v>
      </c>
      <c r="F70" s="103">
        <v>43525</v>
      </c>
      <c r="H70" s="78">
        <v>56600</v>
      </c>
      <c r="J70" s="100">
        <f>IF($F70&lt;DATE(Assumptions!$B$7,1,1),1,IF(YEAR($F70)&gt;Assumptions!$B$7,13,MONTH($F70)))</f>
        <v>1</v>
      </c>
      <c r="K70" s="100">
        <f>IF(OR($G70="",$G70&gt;Assumptions!$B$6),Assumptions!$B$8,IF($G70&lt;DATE(Assumptions!$B$7,1,1),0,MONTH($G70)))</f>
        <v>8</v>
      </c>
      <c r="L70" s="113">
        <f t="shared" si="3"/>
        <v>8</v>
      </c>
      <c r="M70" s="82">
        <f t="shared" si="4"/>
        <v>37733.333333333336</v>
      </c>
      <c r="N70" s="100">
        <f>IF(AND($F70&lt;=Assumptions!$B$6,OR($G70="",$G70&gt;Assumptions!$B$6)),1,0)</f>
        <v>1</v>
      </c>
      <c r="O70" s="82">
        <f t="shared" si="5"/>
        <v>56600</v>
      </c>
    </row>
    <row r="71" spans="1:15" x14ac:dyDescent="0.25">
      <c r="A71" s="76" t="s">
        <v>1102</v>
      </c>
      <c r="B71" s="76" t="s">
        <v>466</v>
      </c>
      <c r="C71" s="76" t="s">
        <v>353</v>
      </c>
      <c r="D71" s="76" t="s">
        <v>405</v>
      </c>
      <c r="E71" s="77">
        <v>1</v>
      </c>
      <c r="F71" s="103">
        <v>43132</v>
      </c>
      <c r="H71" s="78">
        <v>65400</v>
      </c>
      <c r="J71" s="100">
        <f>IF($F71&lt;DATE(Assumptions!$B$7,1,1),1,IF(YEAR($F71)&gt;Assumptions!$B$7,13,MONTH($F71)))</f>
        <v>1</v>
      </c>
      <c r="K71" s="100">
        <f>IF(OR($G71="",$G71&gt;Assumptions!$B$6),Assumptions!$B$8,IF($G71&lt;DATE(Assumptions!$B$7,1,1),0,MONTH($G71)))</f>
        <v>8</v>
      </c>
      <c r="L71" s="113">
        <f t="shared" si="3"/>
        <v>8</v>
      </c>
      <c r="M71" s="82">
        <f t="shared" si="4"/>
        <v>43600</v>
      </c>
      <c r="N71" s="100">
        <f>IF(AND($F71&lt;=Assumptions!$B$6,OR($G71="",$G71&gt;Assumptions!$B$6)),1,0)</f>
        <v>1</v>
      </c>
      <c r="O71" s="82">
        <f t="shared" si="5"/>
        <v>65400</v>
      </c>
    </row>
    <row r="72" spans="1:15" x14ac:dyDescent="0.25">
      <c r="A72" s="76" t="s">
        <v>1103</v>
      </c>
      <c r="B72" s="76" t="s">
        <v>467</v>
      </c>
      <c r="C72" s="76" t="s">
        <v>353</v>
      </c>
      <c r="D72" s="76" t="s">
        <v>401</v>
      </c>
      <c r="E72" s="77">
        <v>2</v>
      </c>
      <c r="F72" s="103">
        <v>45717</v>
      </c>
      <c r="H72" s="78">
        <v>76000</v>
      </c>
      <c r="J72" s="100">
        <f>IF($F72&lt;DATE(Assumptions!$B$7,1,1),1,IF(YEAR($F72)&gt;Assumptions!$B$7,13,MONTH($F72)))</f>
        <v>1</v>
      </c>
      <c r="K72" s="100">
        <f>IF(OR($G72="",$G72&gt;Assumptions!$B$6),Assumptions!$B$8,IF($G72&lt;DATE(Assumptions!$B$7,1,1),0,MONTH($G72)))</f>
        <v>8</v>
      </c>
      <c r="L72" s="113">
        <f t="shared" si="3"/>
        <v>8</v>
      </c>
      <c r="M72" s="82">
        <f t="shared" si="4"/>
        <v>50666.666666666664</v>
      </c>
      <c r="N72" s="100">
        <f>IF(AND($F72&lt;=Assumptions!$B$6,OR($G72="",$G72&gt;Assumptions!$B$6)),1,0)</f>
        <v>1</v>
      </c>
      <c r="O72" s="82">
        <f t="shared" si="5"/>
        <v>76000</v>
      </c>
    </row>
    <row r="73" spans="1:15" x14ac:dyDescent="0.25">
      <c r="A73" s="76" t="s">
        <v>1104</v>
      </c>
      <c r="B73" s="76" t="s">
        <v>468</v>
      </c>
      <c r="C73" s="76" t="s">
        <v>353</v>
      </c>
      <c r="D73" s="76" t="s">
        <v>405</v>
      </c>
      <c r="E73" s="77">
        <v>1</v>
      </c>
      <c r="F73" s="103">
        <v>42309</v>
      </c>
      <c r="H73" s="78">
        <v>58900</v>
      </c>
      <c r="J73" s="100">
        <f>IF($F73&lt;DATE(Assumptions!$B$7,1,1),1,IF(YEAR($F73)&gt;Assumptions!$B$7,13,MONTH($F73)))</f>
        <v>1</v>
      </c>
      <c r="K73" s="100">
        <f>IF(OR($G73="",$G73&gt;Assumptions!$B$6),Assumptions!$B$8,IF($G73&lt;DATE(Assumptions!$B$7,1,1),0,MONTH($G73)))</f>
        <v>8</v>
      </c>
      <c r="L73" s="113">
        <f t="shared" si="3"/>
        <v>8</v>
      </c>
      <c r="M73" s="82">
        <f t="shared" si="4"/>
        <v>39266.666666666664</v>
      </c>
      <c r="N73" s="100">
        <f>IF(AND($F73&lt;=Assumptions!$B$6,OR($G73="",$G73&gt;Assumptions!$B$6)),1,0)</f>
        <v>1</v>
      </c>
      <c r="O73" s="82">
        <f t="shared" si="5"/>
        <v>58900</v>
      </c>
    </row>
    <row r="74" spans="1:15" x14ac:dyDescent="0.25">
      <c r="A74" s="76" t="s">
        <v>1105</v>
      </c>
      <c r="B74" s="76" t="s">
        <v>469</v>
      </c>
      <c r="C74" s="76" t="s">
        <v>353</v>
      </c>
      <c r="D74" s="76" t="s">
        <v>407</v>
      </c>
      <c r="E74" s="77">
        <v>1</v>
      </c>
      <c r="F74" s="103">
        <v>44531</v>
      </c>
      <c r="H74" s="78">
        <v>65000</v>
      </c>
      <c r="J74" s="100">
        <f>IF($F74&lt;DATE(Assumptions!$B$7,1,1),1,IF(YEAR($F74)&gt;Assumptions!$B$7,13,MONTH($F74)))</f>
        <v>1</v>
      </c>
      <c r="K74" s="100">
        <f>IF(OR($G74="",$G74&gt;Assumptions!$B$6),Assumptions!$B$8,IF($G74&lt;DATE(Assumptions!$B$7,1,1),0,MONTH($G74)))</f>
        <v>8</v>
      </c>
      <c r="L74" s="113">
        <f t="shared" si="3"/>
        <v>8</v>
      </c>
      <c r="M74" s="82">
        <f t="shared" si="4"/>
        <v>43333.333333333336</v>
      </c>
      <c r="N74" s="100">
        <f>IF(AND($F74&lt;=Assumptions!$B$6,OR($G74="",$G74&gt;Assumptions!$B$6)),1,0)</f>
        <v>1</v>
      </c>
      <c r="O74" s="82">
        <f t="shared" si="5"/>
        <v>65000</v>
      </c>
    </row>
    <row r="75" spans="1:15" x14ac:dyDescent="0.25">
      <c r="A75" s="76" t="s">
        <v>1106</v>
      </c>
      <c r="B75" s="76" t="s">
        <v>470</v>
      </c>
      <c r="C75" s="76" t="s">
        <v>353</v>
      </c>
      <c r="D75" s="76" t="s">
        <v>401</v>
      </c>
      <c r="E75" s="77">
        <v>2</v>
      </c>
      <c r="F75" s="103">
        <v>43374</v>
      </c>
      <c r="H75" s="78">
        <v>88000</v>
      </c>
      <c r="J75" s="100">
        <f>IF($F75&lt;DATE(Assumptions!$B$7,1,1),1,IF(YEAR($F75)&gt;Assumptions!$B$7,13,MONTH($F75)))</f>
        <v>1</v>
      </c>
      <c r="K75" s="100">
        <f>IF(OR($G75="",$G75&gt;Assumptions!$B$6),Assumptions!$B$8,IF($G75&lt;DATE(Assumptions!$B$7,1,1),0,MONTH($G75)))</f>
        <v>8</v>
      </c>
      <c r="L75" s="113">
        <f t="shared" si="3"/>
        <v>8</v>
      </c>
      <c r="M75" s="82">
        <f t="shared" si="4"/>
        <v>58666.666666666664</v>
      </c>
      <c r="N75" s="100">
        <f>IF(AND($F75&lt;=Assumptions!$B$6,OR($G75="",$G75&gt;Assumptions!$B$6)),1,0)</f>
        <v>1</v>
      </c>
      <c r="O75" s="82">
        <f t="shared" si="5"/>
        <v>88000</v>
      </c>
    </row>
    <row r="76" spans="1:15" x14ac:dyDescent="0.25">
      <c r="A76" s="76" t="s">
        <v>1107</v>
      </c>
      <c r="B76" s="76" t="s">
        <v>471</v>
      </c>
      <c r="C76" s="76" t="s">
        <v>353</v>
      </c>
      <c r="D76" s="76" t="s">
        <v>398</v>
      </c>
      <c r="E76" s="77">
        <v>3</v>
      </c>
      <c r="F76" s="103">
        <v>42856</v>
      </c>
      <c r="H76" s="78">
        <v>137000</v>
      </c>
      <c r="J76" s="100">
        <f>IF($F76&lt;DATE(Assumptions!$B$7,1,1),1,IF(YEAR($F76)&gt;Assumptions!$B$7,13,MONTH($F76)))</f>
        <v>1</v>
      </c>
      <c r="K76" s="100">
        <f>IF(OR($G76="",$G76&gt;Assumptions!$B$6),Assumptions!$B$8,IF($G76&lt;DATE(Assumptions!$B$7,1,1),0,MONTH($G76)))</f>
        <v>8</v>
      </c>
      <c r="L76" s="113">
        <f t="shared" si="3"/>
        <v>8</v>
      </c>
      <c r="M76" s="82">
        <f t="shared" si="4"/>
        <v>91333.333333333328</v>
      </c>
      <c r="N76" s="100">
        <f>IF(AND($F76&lt;=Assumptions!$B$6,OR($G76="",$G76&gt;Assumptions!$B$6)),1,0)</f>
        <v>1</v>
      </c>
      <c r="O76" s="82">
        <f t="shared" si="5"/>
        <v>137000</v>
      </c>
    </row>
    <row r="77" spans="1:15" x14ac:dyDescent="0.25">
      <c r="A77" s="76" t="s">
        <v>1108</v>
      </c>
      <c r="B77" s="76" t="s">
        <v>472</v>
      </c>
      <c r="C77" s="76" t="s">
        <v>353</v>
      </c>
      <c r="D77" s="76" t="s">
        <v>398</v>
      </c>
      <c r="E77" s="77">
        <v>3</v>
      </c>
      <c r="F77" s="103">
        <v>45352</v>
      </c>
      <c r="H77" s="78">
        <v>135800</v>
      </c>
      <c r="J77" s="100">
        <f>IF($F77&lt;DATE(Assumptions!$B$7,1,1),1,IF(YEAR($F77)&gt;Assumptions!$B$7,13,MONTH($F77)))</f>
        <v>1</v>
      </c>
      <c r="K77" s="100">
        <f>IF(OR($G77="",$G77&gt;Assumptions!$B$6),Assumptions!$B$8,IF($G77&lt;DATE(Assumptions!$B$7,1,1),0,MONTH($G77)))</f>
        <v>8</v>
      </c>
      <c r="L77" s="113">
        <f t="shared" si="3"/>
        <v>8</v>
      </c>
      <c r="M77" s="82">
        <f t="shared" si="4"/>
        <v>90533.333333333328</v>
      </c>
      <c r="N77" s="100">
        <f>IF(AND($F77&lt;=Assumptions!$B$6,OR($G77="",$G77&gt;Assumptions!$B$6)),1,0)</f>
        <v>1</v>
      </c>
      <c r="O77" s="82">
        <f t="shared" si="5"/>
        <v>135800</v>
      </c>
    </row>
    <row r="78" spans="1:15" x14ac:dyDescent="0.25">
      <c r="A78" s="76" t="s">
        <v>1109</v>
      </c>
      <c r="B78" s="76" t="s">
        <v>473</v>
      </c>
      <c r="C78" s="76" t="s">
        <v>353</v>
      </c>
      <c r="D78" s="76" t="s">
        <v>405</v>
      </c>
      <c r="E78" s="77">
        <v>1</v>
      </c>
      <c r="F78" s="103">
        <v>43617</v>
      </c>
      <c r="H78" s="78">
        <v>60800</v>
      </c>
      <c r="J78" s="100">
        <f>IF($F78&lt;DATE(Assumptions!$B$7,1,1),1,IF(YEAR($F78)&gt;Assumptions!$B$7,13,MONTH($F78)))</f>
        <v>1</v>
      </c>
      <c r="K78" s="100">
        <f>IF(OR($G78="",$G78&gt;Assumptions!$B$6),Assumptions!$B$8,IF($G78&lt;DATE(Assumptions!$B$7,1,1),0,MONTH($G78)))</f>
        <v>8</v>
      </c>
      <c r="L78" s="113">
        <f t="shared" si="3"/>
        <v>8</v>
      </c>
      <c r="M78" s="82">
        <f t="shared" si="4"/>
        <v>40533.333333333336</v>
      </c>
      <c r="N78" s="100">
        <f>IF(AND($F78&lt;=Assumptions!$B$6,OR($G78="",$G78&gt;Assumptions!$B$6)),1,0)</f>
        <v>1</v>
      </c>
      <c r="O78" s="82">
        <f t="shared" si="5"/>
        <v>60800</v>
      </c>
    </row>
    <row r="79" spans="1:15" x14ac:dyDescent="0.25">
      <c r="A79" s="76" t="s">
        <v>1110</v>
      </c>
      <c r="B79" s="76" t="s">
        <v>474</v>
      </c>
      <c r="C79" s="76" t="s">
        <v>353</v>
      </c>
      <c r="D79" s="76" t="s">
        <v>405</v>
      </c>
      <c r="E79" s="77">
        <v>1</v>
      </c>
      <c r="F79" s="103">
        <v>43221</v>
      </c>
      <c r="G79" s="103">
        <v>46265</v>
      </c>
      <c r="H79" s="78">
        <v>58300</v>
      </c>
      <c r="J79" s="100">
        <f>IF($F79&lt;DATE(Assumptions!$B$7,1,1),1,IF(YEAR($F79)&gt;Assumptions!$B$7,13,MONTH($F79)))</f>
        <v>1</v>
      </c>
      <c r="K79" s="100">
        <f>IF(OR($G79="",$G79&gt;Assumptions!$B$6),Assumptions!$B$8,IF($G79&lt;DATE(Assumptions!$B$7,1,1),0,MONTH($G79)))</f>
        <v>8</v>
      </c>
      <c r="L79" s="113">
        <f t="shared" si="3"/>
        <v>8</v>
      </c>
      <c r="M79" s="82">
        <f t="shared" si="4"/>
        <v>38866.666666666664</v>
      </c>
      <c r="N79" s="100">
        <f>IF(AND($F79&lt;=Assumptions!$B$6,OR($G79="",$G79&gt;Assumptions!$B$6)),1,0)</f>
        <v>0</v>
      </c>
      <c r="O79" s="82">
        <f t="shared" si="5"/>
        <v>0</v>
      </c>
    </row>
    <row r="80" spans="1:15" x14ac:dyDescent="0.25">
      <c r="A80" s="76" t="s">
        <v>1111</v>
      </c>
      <c r="B80" s="76" t="s">
        <v>475</v>
      </c>
      <c r="C80" s="76" t="s">
        <v>353</v>
      </c>
      <c r="D80" s="76" t="s">
        <v>405</v>
      </c>
      <c r="E80" s="77">
        <v>1</v>
      </c>
      <c r="F80" s="103">
        <v>43466</v>
      </c>
      <c r="H80" s="78">
        <v>59300</v>
      </c>
      <c r="J80" s="100">
        <f>IF($F80&lt;DATE(Assumptions!$B$7,1,1),1,IF(YEAR($F80)&gt;Assumptions!$B$7,13,MONTH($F80)))</f>
        <v>1</v>
      </c>
      <c r="K80" s="100">
        <f>IF(OR($G80="",$G80&gt;Assumptions!$B$6),Assumptions!$B$8,IF($G80&lt;DATE(Assumptions!$B$7,1,1),0,MONTH($G80)))</f>
        <v>8</v>
      </c>
      <c r="L80" s="113">
        <f t="shared" si="3"/>
        <v>8</v>
      </c>
      <c r="M80" s="82">
        <f t="shared" si="4"/>
        <v>39533.333333333336</v>
      </c>
      <c r="N80" s="100">
        <f>IF(AND($F80&lt;=Assumptions!$B$6,OR($G80="",$G80&gt;Assumptions!$B$6)),1,0)</f>
        <v>1</v>
      </c>
      <c r="O80" s="82">
        <f t="shared" si="5"/>
        <v>59300</v>
      </c>
    </row>
    <row r="81" spans="1:15" x14ac:dyDescent="0.25">
      <c r="A81" s="76" t="s">
        <v>1112</v>
      </c>
      <c r="B81" s="76" t="s">
        <v>476</v>
      </c>
      <c r="C81" s="76" t="s">
        <v>353</v>
      </c>
      <c r="D81" s="76" t="s">
        <v>407</v>
      </c>
      <c r="E81" s="77">
        <v>1</v>
      </c>
      <c r="F81" s="103">
        <v>45200</v>
      </c>
      <c r="H81" s="78">
        <v>60200</v>
      </c>
      <c r="J81" s="100">
        <f>IF($F81&lt;DATE(Assumptions!$B$7,1,1),1,IF(YEAR($F81)&gt;Assumptions!$B$7,13,MONTH($F81)))</f>
        <v>1</v>
      </c>
      <c r="K81" s="100">
        <f>IF(OR($G81="",$G81&gt;Assumptions!$B$6),Assumptions!$B$8,IF($G81&lt;DATE(Assumptions!$B$7,1,1),0,MONTH($G81)))</f>
        <v>8</v>
      </c>
      <c r="L81" s="113">
        <f t="shared" si="3"/>
        <v>8</v>
      </c>
      <c r="M81" s="82">
        <f t="shared" si="4"/>
        <v>40133.333333333336</v>
      </c>
      <c r="N81" s="100">
        <f>IF(AND($F81&lt;=Assumptions!$B$6,OR($G81="",$G81&gt;Assumptions!$B$6)),1,0)</f>
        <v>1</v>
      </c>
      <c r="O81" s="82">
        <f t="shared" si="5"/>
        <v>60200</v>
      </c>
    </row>
    <row r="82" spans="1:15" x14ac:dyDescent="0.25">
      <c r="A82" s="76" t="s">
        <v>1113</v>
      </c>
      <c r="B82" s="76" t="s">
        <v>477</v>
      </c>
      <c r="C82" s="76" t="s">
        <v>353</v>
      </c>
      <c r="D82" s="76" t="s">
        <v>401</v>
      </c>
      <c r="E82" s="77">
        <v>2</v>
      </c>
      <c r="F82" s="103">
        <v>44440</v>
      </c>
      <c r="H82" s="78">
        <v>76700</v>
      </c>
      <c r="J82" s="100">
        <f>IF($F82&lt;DATE(Assumptions!$B$7,1,1),1,IF(YEAR($F82)&gt;Assumptions!$B$7,13,MONTH($F82)))</f>
        <v>1</v>
      </c>
      <c r="K82" s="100">
        <f>IF(OR($G82="",$G82&gt;Assumptions!$B$6),Assumptions!$B$8,IF($G82&lt;DATE(Assumptions!$B$7,1,1),0,MONTH($G82)))</f>
        <v>8</v>
      </c>
      <c r="L82" s="113">
        <f t="shared" si="3"/>
        <v>8</v>
      </c>
      <c r="M82" s="82">
        <f t="shared" si="4"/>
        <v>51133.333333333336</v>
      </c>
      <c r="N82" s="100">
        <f>IF(AND($F82&lt;=Assumptions!$B$6,OR($G82="",$G82&gt;Assumptions!$B$6)),1,0)</f>
        <v>1</v>
      </c>
      <c r="O82" s="82">
        <f t="shared" si="5"/>
        <v>76700</v>
      </c>
    </row>
    <row r="83" spans="1:15" x14ac:dyDescent="0.25">
      <c r="A83" s="76" t="s">
        <v>1114</v>
      </c>
      <c r="B83" s="76" t="s">
        <v>478</v>
      </c>
      <c r="C83" s="76" t="s">
        <v>353</v>
      </c>
      <c r="D83" s="76" t="s">
        <v>405</v>
      </c>
      <c r="E83" s="77">
        <v>1</v>
      </c>
      <c r="F83" s="103">
        <v>45627</v>
      </c>
      <c r="H83" s="78">
        <v>52500</v>
      </c>
      <c r="J83" s="100">
        <f>IF($F83&lt;DATE(Assumptions!$B$7,1,1),1,IF(YEAR($F83)&gt;Assumptions!$B$7,13,MONTH($F83)))</f>
        <v>1</v>
      </c>
      <c r="K83" s="100">
        <f>IF(OR($G83="",$G83&gt;Assumptions!$B$6),Assumptions!$B$8,IF($G83&lt;DATE(Assumptions!$B$7,1,1),0,MONTH($G83)))</f>
        <v>8</v>
      </c>
      <c r="L83" s="113">
        <f t="shared" si="3"/>
        <v>8</v>
      </c>
      <c r="M83" s="82">
        <f t="shared" si="4"/>
        <v>35000</v>
      </c>
      <c r="N83" s="100">
        <f>IF(AND($F83&lt;=Assumptions!$B$6,OR($G83="",$G83&gt;Assumptions!$B$6)),1,0)</f>
        <v>1</v>
      </c>
      <c r="O83" s="82">
        <f t="shared" si="5"/>
        <v>52500</v>
      </c>
    </row>
    <row r="84" spans="1:15" x14ac:dyDescent="0.25">
      <c r="A84" s="76" t="s">
        <v>1115</v>
      </c>
      <c r="B84" s="76" t="s">
        <v>479</v>
      </c>
      <c r="C84" s="76" t="s">
        <v>353</v>
      </c>
      <c r="D84" s="76" t="s">
        <v>405</v>
      </c>
      <c r="E84" s="77">
        <v>1</v>
      </c>
      <c r="F84" s="103">
        <v>42156</v>
      </c>
      <c r="H84" s="78">
        <v>65900</v>
      </c>
      <c r="J84" s="100">
        <f>IF($F84&lt;DATE(Assumptions!$B$7,1,1),1,IF(YEAR($F84)&gt;Assumptions!$B$7,13,MONTH($F84)))</f>
        <v>1</v>
      </c>
      <c r="K84" s="100">
        <f>IF(OR($G84="",$G84&gt;Assumptions!$B$6),Assumptions!$B$8,IF($G84&lt;DATE(Assumptions!$B$7,1,1),0,MONTH($G84)))</f>
        <v>8</v>
      </c>
      <c r="L84" s="113">
        <f t="shared" si="3"/>
        <v>8</v>
      </c>
      <c r="M84" s="82">
        <f t="shared" si="4"/>
        <v>43933.333333333336</v>
      </c>
      <c r="N84" s="100">
        <f>IF(AND($F84&lt;=Assumptions!$B$6,OR($G84="",$G84&gt;Assumptions!$B$6)),1,0)</f>
        <v>1</v>
      </c>
      <c r="O84" s="82">
        <f t="shared" si="5"/>
        <v>65900</v>
      </c>
    </row>
    <row r="85" spans="1:15" x14ac:dyDescent="0.25">
      <c r="A85" s="76" t="s">
        <v>1116</v>
      </c>
      <c r="B85" s="76" t="s">
        <v>480</v>
      </c>
      <c r="C85" s="76" t="s">
        <v>353</v>
      </c>
      <c r="D85" s="76" t="s">
        <v>407</v>
      </c>
      <c r="E85" s="77">
        <v>1</v>
      </c>
      <c r="F85" s="103">
        <v>42826</v>
      </c>
      <c r="H85" s="78">
        <v>64100</v>
      </c>
      <c r="J85" s="100">
        <f>IF($F85&lt;DATE(Assumptions!$B$7,1,1),1,IF(YEAR($F85)&gt;Assumptions!$B$7,13,MONTH($F85)))</f>
        <v>1</v>
      </c>
      <c r="K85" s="100">
        <f>IF(OR($G85="",$G85&gt;Assumptions!$B$6),Assumptions!$B$8,IF($G85&lt;DATE(Assumptions!$B$7,1,1),0,MONTH($G85)))</f>
        <v>8</v>
      </c>
      <c r="L85" s="113">
        <f t="shared" si="3"/>
        <v>8</v>
      </c>
      <c r="M85" s="82">
        <f t="shared" si="4"/>
        <v>42733.333333333336</v>
      </c>
      <c r="N85" s="100">
        <f>IF(AND($F85&lt;=Assumptions!$B$6,OR($G85="",$G85&gt;Assumptions!$B$6)),1,0)</f>
        <v>1</v>
      </c>
      <c r="O85" s="82">
        <f t="shared" si="5"/>
        <v>64100</v>
      </c>
    </row>
    <row r="86" spans="1:15" x14ac:dyDescent="0.25">
      <c r="A86" s="76" t="s">
        <v>1117</v>
      </c>
      <c r="B86" s="76" t="s">
        <v>481</v>
      </c>
      <c r="C86" s="76" t="s">
        <v>353</v>
      </c>
      <c r="D86" s="76" t="s">
        <v>401</v>
      </c>
      <c r="E86" s="77">
        <v>2</v>
      </c>
      <c r="F86" s="103">
        <v>42370</v>
      </c>
      <c r="H86" s="78">
        <v>95200</v>
      </c>
      <c r="J86" s="100">
        <f>IF($F86&lt;DATE(Assumptions!$B$7,1,1),1,IF(YEAR($F86)&gt;Assumptions!$B$7,13,MONTH($F86)))</f>
        <v>1</v>
      </c>
      <c r="K86" s="100">
        <f>IF(OR($G86="",$G86&gt;Assumptions!$B$6),Assumptions!$B$8,IF($G86&lt;DATE(Assumptions!$B$7,1,1),0,MONTH($G86)))</f>
        <v>8</v>
      </c>
      <c r="L86" s="113">
        <f t="shared" si="3"/>
        <v>8</v>
      </c>
      <c r="M86" s="82">
        <f t="shared" si="4"/>
        <v>63466.666666666664</v>
      </c>
      <c r="N86" s="100">
        <f>IF(AND($F86&lt;=Assumptions!$B$6,OR($G86="",$G86&gt;Assumptions!$B$6)),1,0)</f>
        <v>1</v>
      </c>
      <c r="O86" s="82">
        <f t="shared" si="5"/>
        <v>95200</v>
      </c>
    </row>
    <row r="87" spans="1:15" x14ac:dyDescent="0.25">
      <c r="A87" s="76" t="s">
        <v>1118</v>
      </c>
      <c r="B87" s="76" t="s">
        <v>482</v>
      </c>
      <c r="C87" s="76" t="s">
        <v>353</v>
      </c>
      <c r="D87" s="76" t="s">
        <v>407</v>
      </c>
      <c r="E87" s="77">
        <v>1</v>
      </c>
      <c r="F87" s="103">
        <v>45658</v>
      </c>
      <c r="H87" s="78">
        <v>53400</v>
      </c>
      <c r="J87" s="100">
        <f>IF($F87&lt;DATE(Assumptions!$B$7,1,1),1,IF(YEAR($F87)&gt;Assumptions!$B$7,13,MONTH($F87)))</f>
        <v>1</v>
      </c>
      <c r="K87" s="100">
        <f>IF(OR($G87="",$G87&gt;Assumptions!$B$6),Assumptions!$B$8,IF($G87&lt;DATE(Assumptions!$B$7,1,1),0,MONTH($G87)))</f>
        <v>8</v>
      </c>
      <c r="L87" s="113">
        <f t="shared" si="3"/>
        <v>8</v>
      </c>
      <c r="M87" s="82">
        <f t="shared" si="4"/>
        <v>35600</v>
      </c>
      <c r="N87" s="100">
        <f>IF(AND($F87&lt;=Assumptions!$B$6,OR($G87="",$G87&gt;Assumptions!$B$6)),1,0)</f>
        <v>1</v>
      </c>
      <c r="O87" s="82">
        <f t="shared" si="5"/>
        <v>53400</v>
      </c>
    </row>
    <row r="88" spans="1:15" x14ac:dyDescent="0.25">
      <c r="A88" s="76" t="s">
        <v>1119</v>
      </c>
      <c r="B88" s="76" t="s">
        <v>483</v>
      </c>
      <c r="C88" s="76" t="s">
        <v>353</v>
      </c>
      <c r="D88" s="76" t="s">
        <v>405</v>
      </c>
      <c r="E88" s="77">
        <v>1</v>
      </c>
      <c r="F88" s="103">
        <v>45505</v>
      </c>
      <c r="H88" s="78">
        <v>57800</v>
      </c>
      <c r="J88" s="100">
        <f>IF($F88&lt;DATE(Assumptions!$B$7,1,1),1,IF(YEAR($F88)&gt;Assumptions!$B$7,13,MONTH($F88)))</f>
        <v>1</v>
      </c>
      <c r="K88" s="100">
        <f>IF(OR($G88="",$G88&gt;Assumptions!$B$6),Assumptions!$B$8,IF($G88&lt;DATE(Assumptions!$B$7,1,1),0,MONTH($G88)))</f>
        <v>8</v>
      </c>
      <c r="L88" s="113">
        <f t="shared" si="3"/>
        <v>8</v>
      </c>
      <c r="M88" s="82">
        <f t="shared" si="4"/>
        <v>38533.333333333336</v>
      </c>
      <c r="N88" s="100">
        <f>IF(AND($F88&lt;=Assumptions!$B$6,OR($G88="",$G88&gt;Assumptions!$B$6)),1,0)</f>
        <v>1</v>
      </c>
      <c r="O88" s="82">
        <f t="shared" si="5"/>
        <v>57800</v>
      </c>
    </row>
    <row r="89" spans="1:15" x14ac:dyDescent="0.25">
      <c r="A89" s="76" t="s">
        <v>1120</v>
      </c>
      <c r="B89" s="76" t="s">
        <v>484</v>
      </c>
      <c r="C89" s="76" t="s">
        <v>353</v>
      </c>
      <c r="D89" s="76" t="s">
        <v>401</v>
      </c>
      <c r="E89" s="77">
        <v>2</v>
      </c>
      <c r="F89" s="103">
        <v>44197</v>
      </c>
      <c r="H89" s="78">
        <v>91000</v>
      </c>
      <c r="J89" s="100">
        <f>IF($F89&lt;DATE(Assumptions!$B$7,1,1),1,IF(YEAR($F89)&gt;Assumptions!$B$7,13,MONTH($F89)))</f>
        <v>1</v>
      </c>
      <c r="K89" s="100">
        <f>IF(OR($G89="",$G89&gt;Assumptions!$B$6),Assumptions!$B$8,IF($G89&lt;DATE(Assumptions!$B$7,1,1),0,MONTH($G89)))</f>
        <v>8</v>
      </c>
      <c r="L89" s="113">
        <f t="shared" si="3"/>
        <v>8</v>
      </c>
      <c r="M89" s="82">
        <f t="shared" si="4"/>
        <v>60666.666666666664</v>
      </c>
      <c r="N89" s="100">
        <f>IF(AND($F89&lt;=Assumptions!$B$6,OR($G89="",$G89&gt;Assumptions!$B$6)),1,0)</f>
        <v>1</v>
      </c>
      <c r="O89" s="82">
        <f t="shared" si="5"/>
        <v>91000</v>
      </c>
    </row>
    <row r="90" spans="1:15" x14ac:dyDescent="0.25">
      <c r="A90" s="76" t="s">
        <v>1121</v>
      </c>
      <c r="B90" s="76" t="s">
        <v>485</v>
      </c>
      <c r="C90" s="76" t="s">
        <v>353</v>
      </c>
      <c r="D90" s="76" t="s">
        <v>405</v>
      </c>
      <c r="E90" s="77">
        <v>1</v>
      </c>
      <c r="F90" s="103">
        <v>45536</v>
      </c>
      <c r="H90" s="78">
        <v>67000</v>
      </c>
      <c r="J90" s="100">
        <f>IF($F90&lt;DATE(Assumptions!$B$7,1,1),1,IF(YEAR($F90)&gt;Assumptions!$B$7,13,MONTH($F90)))</f>
        <v>1</v>
      </c>
      <c r="K90" s="100">
        <f>IF(OR($G90="",$G90&gt;Assumptions!$B$6),Assumptions!$B$8,IF($G90&lt;DATE(Assumptions!$B$7,1,1),0,MONTH($G90)))</f>
        <v>8</v>
      </c>
      <c r="L90" s="113">
        <f t="shared" si="3"/>
        <v>8</v>
      </c>
      <c r="M90" s="82">
        <f t="shared" si="4"/>
        <v>44666.666666666664</v>
      </c>
      <c r="N90" s="100">
        <f>IF(AND($F90&lt;=Assumptions!$B$6,OR($G90="",$G90&gt;Assumptions!$B$6)),1,0)</f>
        <v>1</v>
      </c>
      <c r="O90" s="82">
        <f t="shared" si="5"/>
        <v>67000</v>
      </c>
    </row>
    <row r="91" spans="1:15" x14ac:dyDescent="0.25">
      <c r="A91" s="76" t="s">
        <v>1122</v>
      </c>
      <c r="B91" s="76" t="s">
        <v>486</v>
      </c>
      <c r="C91" s="76" t="s">
        <v>353</v>
      </c>
      <c r="D91" s="76" t="s">
        <v>446</v>
      </c>
      <c r="E91" s="77">
        <v>4</v>
      </c>
      <c r="F91" s="103">
        <v>44378</v>
      </c>
      <c r="H91" s="78">
        <v>168500</v>
      </c>
      <c r="J91" s="100">
        <f>IF($F91&lt;DATE(Assumptions!$B$7,1,1),1,IF(YEAR($F91)&gt;Assumptions!$B$7,13,MONTH($F91)))</f>
        <v>1</v>
      </c>
      <c r="K91" s="100">
        <f>IF(OR($G91="",$G91&gt;Assumptions!$B$6),Assumptions!$B$8,IF($G91&lt;DATE(Assumptions!$B$7,1,1),0,MONTH($G91)))</f>
        <v>8</v>
      </c>
      <c r="L91" s="113">
        <f t="shared" si="3"/>
        <v>8</v>
      </c>
      <c r="M91" s="82">
        <f t="shared" si="4"/>
        <v>112333.33333333333</v>
      </c>
      <c r="N91" s="100">
        <f>IF(AND($F91&lt;=Assumptions!$B$6,OR($G91="",$G91&gt;Assumptions!$B$6)),1,0)</f>
        <v>1</v>
      </c>
      <c r="O91" s="82">
        <f t="shared" si="5"/>
        <v>168500</v>
      </c>
    </row>
    <row r="92" spans="1:15" x14ac:dyDescent="0.25">
      <c r="A92" s="76" t="s">
        <v>1123</v>
      </c>
      <c r="B92" s="76" t="s">
        <v>487</v>
      </c>
      <c r="C92" s="76" t="s">
        <v>353</v>
      </c>
      <c r="D92" s="76" t="s">
        <v>401</v>
      </c>
      <c r="E92" s="77">
        <v>2</v>
      </c>
      <c r="F92" s="103">
        <v>42736</v>
      </c>
      <c r="H92" s="78">
        <v>73800</v>
      </c>
      <c r="J92" s="100">
        <f>IF($F92&lt;DATE(Assumptions!$B$7,1,1),1,IF(YEAR($F92)&gt;Assumptions!$B$7,13,MONTH($F92)))</f>
        <v>1</v>
      </c>
      <c r="K92" s="100">
        <f>IF(OR($G92="",$G92&gt;Assumptions!$B$6),Assumptions!$B$8,IF($G92&lt;DATE(Assumptions!$B$7,1,1),0,MONTH($G92)))</f>
        <v>8</v>
      </c>
      <c r="L92" s="113">
        <f t="shared" si="3"/>
        <v>8</v>
      </c>
      <c r="M92" s="82">
        <f t="shared" si="4"/>
        <v>49200</v>
      </c>
      <c r="N92" s="100">
        <f>IF(AND($F92&lt;=Assumptions!$B$6,OR($G92="",$G92&gt;Assumptions!$B$6)),1,0)</f>
        <v>1</v>
      </c>
      <c r="O92" s="82">
        <f t="shared" si="5"/>
        <v>73800</v>
      </c>
    </row>
    <row r="93" spans="1:15" x14ac:dyDescent="0.25">
      <c r="A93" s="76" t="s">
        <v>1124</v>
      </c>
      <c r="B93" s="76" t="s">
        <v>488</v>
      </c>
      <c r="C93" s="76" t="s">
        <v>353</v>
      </c>
      <c r="D93" s="76" t="s">
        <v>405</v>
      </c>
      <c r="E93" s="77">
        <v>1</v>
      </c>
      <c r="F93" s="103">
        <v>42095</v>
      </c>
      <c r="H93" s="78">
        <v>62500</v>
      </c>
      <c r="J93" s="100">
        <f>IF($F93&lt;DATE(Assumptions!$B$7,1,1),1,IF(YEAR($F93)&gt;Assumptions!$B$7,13,MONTH($F93)))</f>
        <v>1</v>
      </c>
      <c r="K93" s="100">
        <f>IF(OR($G93="",$G93&gt;Assumptions!$B$6),Assumptions!$B$8,IF($G93&lt;DATE(Assumptions!$B$7,1,1),0,MONTH($G93)))</f>
        <v>8</v>
      </c>
      <c r="L93" s="113">
        <f t="shared" si="3"/>
        <v>8</v>
      </c>
      <c r="M93" s="82">
        <f t="shared" si="4"/>
        <v>41666.666666666664</v>
      </c>
      <c r="N93" s="100">
        <f>IF(AND($F93&lt;=Assumptions!$B$6,OR($G93="",$G93&gt;Assumptions!$B$6)),1,0)</f>
        <v>1</v>
      </c>
      <c r="O93" s="82">
        <f t="shared" si="5"/>
        <v>62500</v>
      </c>
    </row>
    <row r="94" spans="1:15" x14ac:dyDescent="0.25">
      <c r="A94" s="76" t="s">
        <v>1125</v>
      </c>
      <c r="B94" s="76" t="s">
        <v>489</v>
      </c>
      <c r="C94" s="76" t="s">
        <v>353</v>
      </c>
      <c r="D94" s="76" t="s">
        <v>398</v>
      </c>
      <c r="E94" s="77">
        <v>3</v>
      </c>
      <c r="F94" s="103">
        <v>42430</v>
      </c>
      <c r="H94" s="78">
        <v>118000</v>
      </c>
      <c r="J94" s="100">
        <f>IF($F94&lt;DATE(Assumptions!$B$7,1,1),1,IF(YEAR($F94)&gt;Assumptions!$B$7,13,MONTH($F94)))</f>
        <v>1</v>
      </c>
      <c r="K94" s="100">
        <f>IF(OR($G94="",$G94&gt;Assumptions!$B$6),Assumptions!$B$8,IF($G94&lt;DATE(Assumptions!$B$7,1,1),0,MONTH($G94)))</f>
        <v>8</v>
      </c>
      <c r="L94" s="113">
        <f t="shared" si="3"/>
        <v>8</v>
      </c>
      <c r="M94" s="82">
        <f t="shared" si="4"/>
        <v>78666.666666666672</v>
      </c>
      <c r="N94" s="100">
        <f>IF(AND($F94&lt;=Assumptions!$B$6,OR($G94="",$G94&gt;Assumptions!$B$6)),1,0)</f>
        <v>1</v>
      </c>
      <c r="O94" s="82">
        <f t="shared" si="5"/>
        <v>118000</v>
      </c>
    </row>
    <row r="95" spans="1:15" x14ac:dyDescent="0.25">
      <c r="A95" s="76" t="s">
        <v>1126</v>
      </c>
      <c r="B95" s="76" t="s">
        <v>490</v>
      </c>
      <c r="C95" s="76" t="s">
        <v>353</v>
      </c>
      <c r="D95" s="76" t="s">
        <v>401</v>
      </c>
      <c r="E95" s="77">
        <v>2</v>
      </c>
      <c r="F95" s="103">
        <v>42339</v>
      </c>
      <c r="H95" s="78">
        <v>78100</v>
      </c>
      <c r="J95" s="100">
        <f>IF($F95&lt;DATE(Assumptions!$B$7,1,1),1,IF(YEAR($F95)&gt;Assumptions!$B$7,13,MONTH($F95)))</f>
        <v>1</v>
      </c>
      <c r="K95" s="100">
        <f>IF(OR($G95="",$G95&gt;Assumptions!$B$6),Assumptions!$B$8,IF($G95&lt;DATE(Assumptions!$B$7,1,1),0,MONTH($G95)))</f>
        <v>8</v>
      </c>
      <c r="L95" s="113">
        <f t="shared" si="3"/>
        <v>8</v>
      </c>
      <c r="M95" s="82">
        <f t="shared" si="4"/>
        <v>52066.666666666664</v>
      </c>
      <c r="N95" s="100">
        <f>IF(AND($F95&lt;=Assumptions!$B$6,OR($G95="",$G95&gt;Assumptions!$B$6)),1,0)</f>
        <v>1</v>
      </c>
      <c r="O95" s="82">
        <f t="shared" si="5"/>
        <v>78100</v>
      </c>
    </row>
    <row r="96" spans="1:15" x14ac:dyDescent="0.25">
      <c r="A96" s="76" t="s">
        <v>1127</v>
      </c>
      <c r="B96" s="76" t="s">
        <v>491</v>
      </c>
      <c r="C96" s="76" t="s">
        <v>353</v>
      </c>
      <c r="D96" s="76" t="s">
        <v>405</v>
      </c>
      <c r="E96" s="77">
        <v>1</v>
      </c>
      <c r="F96" s="103">
        <v>42309</v>
      </c>
      <c r="H96" s="78">
        <v>54600</v>
      </c>
      <c r="J96" s="100">
        <f>IF($F96&lt;DATE(Assumptions!$B$7,1,1),1,IF(YEAR($F96)&gt;Assumptions!$B$7,13,MONTH($F96)))</f>
        <v>1</v>
      </c>
      <c r="K96" s="100">
        <f>IF(OR($G96="",$G96&gt;Assumptions!$B$6),Assumptions!$B$8,IF($G96&lt;DATE(Assumptions!$B$7,1,1),0,MONTH($G96)))</f>
        <v>8</v>
      </c>
      <c r="L96" s="113">
        <f t="shared" si="3"/>
        <v>8</v>
      </c>
      <c r="M96" s="82">
        <f t="shared" si="4"/>
        <v>36400</v>
      </c>
      <c r="N96" s="100">
        <f>IF(AND($F96&lt;=Assumptions!$B$6,OR($G96="",$G96&gt;Assumptions!$B$6)),1,0)</f>
        <v>1</v>
      </c>
      <c r="O96" s="82">
        <f t="shared" si="5"/>
        <v>54600</v>
      </c>
    </row>
    <row r="97" spans="1:15" x14ac:dyDescent="0.25">
      <c r="A97" s="76" t="s">
        <v>1128</v>
      </c>
      <c r="B97" s="76" t="s">
        <v>492</v>
      </c>
      <c r="C97" s="76" t="s">
        <v>353</v>
      </c>
      <c r="D97" s="76" t="s">
        <v>407</v>
      </c>
      <c r="E97" s="77">
        <v>1</v>
      </c>
      <c r="F97" s="103">
        <v>44682</v>
      </c>
      <c r="H97" s="78">
        <v>60700</v>
      </c>
      <c r="J97" s="100">
        <f>IF($F97&lt;DATE(Assumptions!$B$7,1,1),1,IF(YEAR($F97)&gt;Assumptions!$B$7,13,MONTH($F97)))</f>
        <v>1</v>
      </c>
      <c r="K97" s="100">
        <f>IF(OR($G97="",$G97&gt;Assumptions!$B$6),Assumptions!$B$8,IF($G97&lt;DATE(Assumptions!$B$7,1,1),0,MONTH($G97)))</f>
        <v>8</v>
      </c>
      <c r="L97" s="113">
        <f t="shared" si="3"/>
        <v>8</v>
      </c>
      <c r="M97" s="82">
        <f t="shared" si="4"/>
        <v>40466.666666666664</v>
      </c>
      <c r="N97" s="100">
        <f>IF(AND($F97&lt;=Assumptions!$B$6,OR($G97="",$G97&gt;Assumptions!$B$6)),1,0)</f>
        <v>1</v>
      </c>
      <c r="O97" s="82">
        <f t="shared" si="5"/>
        <v>60700</v>
      </c>
    </row>
    <row r="98" spans="1:15" x14ac:dyDescent="0.25">
      <c r="A98" s="76" t="s">
        <v>1129</v>
      </c>
      <c r="B98" s="76" t="s">
        <v>493</v>
      </c>
      <c r="C98" s="76" t="s">
        <v>353</v>
      </c>
      <c r="D98" s="76" t="s">
        <v>405</v>
      </c>
      <c r="E98" s="77">
        <v>1</v>
      </c>
      <c r="F98" s="103">
        <v>43221</v>
      </c>
      <c r="H98" s="78">
        <v>61500</v>
      </c>
      <c r="J98" s="100">
        <f>IF($F98&lt;DATE(Assumptions!$B$7,1,1),1,IF(YEAR($F98)&gt;Assumptions!$B$7,13,MONTH($F98)))</f>
        <v>1</v>
      </c>
      <c r="K98" s="100">
        <f>IF(OR($G98="",$G98&gt;Assumptions!$B$6),Assumptions!$B$8,IF($G98&lt;DATE(Assumptions!$B$7,1,1),0,MONTH($G98)))</f>
        <v>8</v>
      </c>
      <c r="L98" s="113">
        <f t="shared" si="3"/>
        <v>8</v>
      </c>
      <c r="M98" s="82">
        <f t="shared" si="4"/>
        <v>41000</v>
      </c>
      <c r="N98" s="100">
        <f>IF(AND($F98&lt;=Assumptions!$B$6,OR($G98="",$G98&gt;Assumptions!$B$6)),1,0)</f>
        <v>1</v>
      </c>
      <c r="O98" s="82">
        <f t="shared" si="5"/>
        <v>61500</v>
      </c>
    </row>
    <row r="99" spans="1:15" x14ac:dyDescent="0.25">
      <c r="A99" s="76" t="s">
        <v>1130</v>
      </c>
      <c r="B99" s="76" t="s">
        <v>494</v>
      </c>
      <c r="C99" s="76" t="s">
        <v>353</v>
      </c>
      <c r="D99" s="76" t="s">
        <v>401</v>
      </c>
      <c r="E99" s="77">
        <v>2</v>
      </c>
      <c r="F99" s="103">
        <v>42736</v>
      </c>
      <c r="H99" s="78">
        <v>87100</v>
      </c>
      <c r="J99" s="100">
        <f>IF($F99&lt;DATE(Assumptions!$B$7,1,1),1,IF(YEAR($F99)&gt;Assumptions!$B$7,13,MONTH($F99)))</f>
        <v>1</v>
      </c>
      <c r="K99" s="100">
        <f>IF(OR($G99="",$G99&gt;Assumptions!$B$6),Assumptions!$B$8,IF($G99&lt;DATE(Assumptions!$B$7,1,1),0,MONTH($G99)))</f>
        <v>8</v>
      </c>
      <c r="L99" s="113">
        <f t="shared" si="3"/>
        <v>8</v>
      </c>
      <c r="M99" s="82">
        <f t="shared" si="4"/>
        <v>58066.666666666664</v>
      </c>
      <c r="N99" s="100">
        <f>IF(AND($F99&lt;=Assumptions!$B$6,OR($G99="",$G99&gt;Assumptions!$B$6)),1,0)</f>
        <v>1</v>
      </c>
      <c r="O99" s="82">
        <f t="shared" si="5"/>
        <v>87100</v>
      </c>
    </row>
    <row r="100" spans="1:15" x14ac:dyDescent="0.25">
      <c r="A100" s="76" t="s">
        <v>1131</v>
      </c>
      <c r="B100" s="76" t="s">
        <v>495</v>
      </c>
      <c r="C100" s="76" t="s">
        <v>353</v>
      </c>
      <c r="D100" s="76" t="s">
        <v>398</v>
      </c>
      <c r="E100" s="77">
        <v>3</v>
      </c>
      <c r="F100" s="103">
        <v>45383</v>
      </c>
      <c r="H100" s="78">
        <v>128100</v>
      </c>
      <c r="J100" s="100">
        <f>IF($F100&lt;DATE(Assumptions!$B$7,1,1),1,IF(YEAR($F100)&gt;Assumptions!$B$7,13,MONTH($F100)))</f>
        <v>1</v>
      </c>
      <c r="K100" s="100">
        <f>IF(OR($G100="",$G100&gt;Assumptions!$B$6),Assumptions!$B$8,IF($G100&lt;DATE(Assumptions!$B$7,1,1),0,MONTH($G100)))</f>
        <v>8</v>
      </c>
      <c r="L100" s="113">
        <f t="shared" si="3"/>
        <v>8</v>
      </c>
      <c r="M100" s="82">
        <f t="shared" si="4"/>
        <v>85400</v>
      </c>
      <c r="N100" s="100">
        <f>IF(AND($F100&lt;=Assumptions!$B$6,OR($G100="",$G100&gt;Assumptions!$B$6)),1,0)</f>
        <v>1</v>
      </c>
      <c r="O100" s="82">
        <f t="shared" si="5"/>
        <v>128100</v>
      </c>
    </row>
    <row r="101" spans="1:15" x14ac:dyDescent="0.25">
      <c r="A101" s="76" t="s">
        <v>1132</v>
      </c>
      <c r="B101" s="76" t="s">
        <v>496</v>
      </c>
      <c r="C101" s="76" t="s">
        <v>353</v>
      </c>
      <c r="D101" s="76" t="s">
        <v>405</v>
      </c>
      <c r="E101" s="77">
        <v>1</v>
      </c>
      <c r="F101" s="103">
        <v>44501</v>
      </c>
      <c r="H101" s="78">
        <v>58800</v>
      </c>
      <c r="J101" s="100">
        <f>IF($F101&lt;DATE(Assumptions!$B$7,1,1),1,IF(YEAR($F101)&gt;Assumptions!$B$7,13,MONTH($F101)))</f>
        <v>1</v>
      </c>
      <c r="K101" s="100">
        <f>IF(OR($G101="",$G101&gt;Assumptions!$B$6),Assumptions!$B$8,IF($G101&lt;DATE(Assumptions!$B$7,1,1),0,MONTH($G101)))</f>
        <v>8</v>
      </c>
      <c r="L101" s="113">
        <f t="shared" si="3"/>
        <v>8</v>
      </c>
      <c r="M101" s="82">
        <f t="shared" si="4"/>
        <v>39200</v>
      </c>
      <c r="N101" s="100">
        <f>IF(AND($F101&lt;=Assumptions!$B$6,OR($G101="",$G101&gt;Assumptions!$B$6)),1,0)</f>
        <v>1</v>
      </c>
      <c r="O101" s="82">
        <f t="shared" si="5"/>
        <v>58800</v>
      </c>
    </row>
    <row r="102" spans="1:15" x14ac:dyDescent="0.25">
      <c r="A102" s="76" t="s">
        <v>1133</v>
      </c>
      <c r="B102" s="76" t="s">
        <v>497</v>
      </c>
      <c r="C102" s="76" t="s">
        <v>353</v>
      </c>
      <c r="D102" s="76" t="s">
        <v>407</v>
      </c>
      <c r="E102" s="77">
        <v>1</v>
      </c>
      <c r="F102" s="103">
        <v>43739</v>
      </c>
      <c r="H102" s="78">
        <v>66700</v>
      </c>
      <c r="J102" s="100">
        <f>IF($F102&lt;DATE(Assumptions!$B$7,1,1),1,IF(YEAR($F102)&gt;Assumptions!$B$7,13,MONTH($F102)))</f>
        <v>1</v>
      </c>
      <c r="K102" s="100">
        <f>IF(OR($G102="",$G102&gt;Assumptions!$B$6),Assumptions!$B$8,IF($G102&lt;DATE(Assumptions!$B$7,1,1),0,MONTH($G102)))</f>
        <v>8</v>
      </c>
      <c r="L102" s="113">
        <f t="shared" si="3"/>
        <v>8</v>
      </c>
      <c r="M102" s="82">
        <f t="shared" si="4"/>
        <v>44466.666666666664</v>
      </c>
      <c r="N102" s="100">
        <f>IF(AND($F102&lt;=Assumptions!$B$6,OR($G102="",$G102&gt;Assumptions!$B$6)),1,0)</f>
        <v>1</v>
      </c>
      <c r="O102" s="82">
        <f t="shared" si="5"/>
        <v>66700</v>
      </c>
    </row>
    <row r="103" spans="1:15" x14ac:dyDescent="0.25">
      <c r="A103" s="76" t="s">
        <v>1134</v>
      </c>
      <c r="B103" s="76" t="s">
        <v>498</v>
      </c>
      <c r="C103" s="76" t="s">
        <v>353</v>
      </c>
      <c r="D103" s="76" t="s">
        <v>405</v>
      </c>
      <c r="E103" s="77">
        <v>1</v>
      </c>
      <c r="F103" s="103">
        <v>45627</v>
      </c>
      <c r="G103" s="103">
        <v>46142</v>
      </c>
      <c r="H103" s="78">
        <v>61000</v>
      </c>
      <c r="J103" s="100">
        <f>IF($F103&lt;DATE(Assumptions!$B$7,1,1),1,IF(YEAR($F103)&gt;Assumptions!$B$7,13,MONTH($F103)))</f>
        <v>1</v>
      </c>
      <c r="K103" s="100">
        <f>IF(OR($G103="",$G103&gt;Assumptions!$B$6),Assumptions!$B$8,IF($G103&lt;DATE(Assumptions!$B$7,1,1),0,MONTH($G103)))</f>
        <v>4</v>
      </c>
      <c r="L103" s="113">
        <f t="shared" si="3"/>
        <v>4</v>
      </c>
      <c r="M103" s="82">
        <f t="shared" si="4"/>
        <v>20333.333333333332</v>
      </c>
      <c r="N103" s="100">
        <f>IF(AND($F103&lt;=Assumptions!$B$6,OR($G103="",$G103&gt;Assumptions!$B$6)),1,0)</f>
        <v>0</v>
      </c>
      <c r="O103" s="82">
        <f t="shared" si="5"/>
        <v>0</v>
      </c>
    </row>
    <row r="104" spans="1:15" x14ac:dyDescent="0.25">
      <c r="A104" s="76" t="s">
        <v>1135</v>
      </c>
      <c r="B104" s="76" t="s">
        <v>499</v>
      </c>
      <c r="C104" s="76" t="s">
        <v>353</v>
      </c>
      <c r="D104" s="76" t="s">
        <v>401</v>
      </c>
      <c r="E104" s="77">
        <v>2</v>
      </c>
      <c r="F104" s="103">
        <v>43221</v>
      </c>
      <c r="G104" s="103">
        <v>46142</v>
      </c>
      <c r="H104" s="78">
        <v>75300</v>
      </c>
      <c r="J104" s="100">
        <f>IF($F104&lt;DATE(Assumptions!$B$7,1,1),1,IF(YEAR($F104)&gt;Assumptions!$B$7,13,MONTH($F104)))</f>
        <v>1</v>
      </c>
      <c r="K104" s="100">
        <f>IF(OR($G104="",$G104&gt;Assumptions!$B$6),Assumptions!$B$8,IF($G104&lt;DATE(Assumptions!$B$7,1,1),0,MONTH($G104)))</f>
        <v>4</v>
      </c>
      <c r="L104" s="113">
        <f t="shared" si="3"/>
        <v>4</v>
      </c>
      <c r="M104" s="82">
        <f t="shared" si="4"/>
        <v>25100</v>
      </c>
      <c r="N104" s="100">
        <f>IF(AND($F104&lt;=Assumptions!$B$6,OR($G104="",$G104&gt;Assumptions!$B$6)),1,0)</f>
        <v>0</v>
      </c>
      <c r="O104" s="82">
        <f t="shared" si="5"/>
        <v>0</v>
      </c>
    </row>
    <row r="105" spans="1:15" x14ac:dyDescent="0.25">
      <c r="A105" s="76" t="s">
        <v>1136</v>
      </c>
      <c r="B105" s="76" t="s">
        <v>499</v>
      </c>
      <c r="C105" s="76" t="s">
        <v>353</v>
      </c>
      <c r="D105" s="76" t="s">
        <v>401</v>
      </c>
      <c r="E105" s="77">
        <v>2</v>
      </c>
      <c r="F105" s="103">
        <v>46204</v>
      </c>
      <c r="H105" s="78">
        <v>81000</v>
      </c>
      <c r="J105" s="100">
        <f>IF($F105&lt;DATE(Assumptions!$B$7,1,1),1,IF(YEAR($F105)&gt;Assumptions!$B$7,13,MONTH($F105)))</f>
        <v>7</v>
      </c>
      <c r="K105" s="100">
        <f>IF(OR($G105="",$G105&gt;Assumptions!$B$6),Assumptions!$B$8,IF($G105&lt;DATE(Assumptions!$B$7,1,1),0,MONTH($G105)))</f>
        <v>8</v>
      </c>
      <c r="L105" s="113">
        <f t="shared" si="3"/>
        <v>2</v>
      </c>
      <c r="M105" s="82">
        <f t="shared" si="4"/>
        <v>13500</v>
      </c>
      <c r="N105" s="100">
        <f>IF(AND($F105&lt;=Assumptions!$B$6,OR($G105="",$G105&gt;Assumptions!$B$6)),1,0)</f>
        <v>1</v>
      </c>
      <c r="O105" s="82">
        <f t="shared" si="5"/>
        <v>81000</v>
      </c>
    </row>
    <row r="106" spans="1:15" x14ac:dyDescent="0.25">
      <c r="A106" s="76" t="s">
        <v>1137</v>
      </c>
      <c r="B106" s="76" t="s">
        <v>500</v>
      </c>
      <c r="C106" s="76" t="s">
        <v>353</v>
      </c>
      <c r="D106" s="76" t="s">
        <v>401</v>
      </c>
      <c r="E106" s="77">
        <v>2</v>
      </c>
      <c r="F106" s="103">
        <v>43374</v>
      </c>
      <c r="H106" s="78">
        <v>82800</v>
      </c>
      <c r="J106" s="100">
        <f>IF($F106&lt;DATE(Assumptions!$B$7,1,1),1,IF(YEAR($F106)&gt;Assumptions!$B$7,13,MONTH($F106)))</f>
        <v>1</v>
      </c>
      <c r="K106" s="100">
        <f>IF(OR($G106="",$G106&gt;Assumptions!$B$6),Assumptions!$B$8,IF($G106&lt;DATE(Assumptions!$B$7,1,1),0,MONTH($G106)))</f>
        <v>8</v>
      </c>
      <c r="L106" s="113">
        <f t="shared" si="3"/>
        <v>8</v>
      </c>
      <c r="M106" s="82">
        <f t="shared" si="4"/>
        <v>55200</v>
      </c>
      <c r="N106" s="100">
        <f>IF(AND($F106&lt;=Assumptions!$B$6,OR($G106="",$G106&gt;Assumptions!$B$6)),1,0)</f>
        <v>1</v>
      </c>
      <c r="O106" s="82">
        <f t="shared" si="5"/>
        <v>82800</v>
      </c>
    </row>
    <row r="107" spans="1:15" x14ac:dyDescent="0.25">
      <c r="A107" s="76" t="s">
        <v>1138</v>
      </c>
      <c r="B107" s="76" t="s">
        <v>501</v>
      </c>
      <c r="C107" s="76" t="s">
        <v>353</v>
      </c>
      <c r="D107" s="76" t="s">
        <v>407</v>
      </c>
      <c r="E107" s="77">
        <v>1</v>
      </c>
      <c r="F107" s="103">
        <v>43862</v>
      </c>
      <c r="H107" s="78">
        <v>65200</v>
      </c>
      <c r="J107" s="100">
        <f>IF($F107&lt;DATE(Assumptions!$B$7,1,1),1,IF(YEAR($F107)&gt;Assumptions!$B$7,13,MONTH($F107)))</f>
        <v>1</v>
      </c>
      <c r="K107" s="100">
        <f>IF(OR($G107="",$G107&gt;Assumptions!$B$6),Assumptions!$B$8,IF($G107&lt;DATE(Assumptions!$B$7,1,1),0,MONTH($G107)))</f>
        <v>8</v>
      </c>
      <c r="L107" s="113">
        <f t="shared" si="3"/>
        <v>8</v>
      </c>
      <c r="M107" s="82">
        <f t="shared" si="4"/>
        <v>43466.666666666664</v>
      </c>
      <c r="N107" s="100">
        <f>IF(AND($F107&lt;=Assumptions!$B$6,OR($G107="",$G107&gt;Assumptions!$B$6)),1,0)</f>
        <v>1</v>
      </c>
      <c r="O107" s="82">
        <f t="shared" si="5"/>
        <v>65200</v>
      </c>
    </row>
    <row r="108" spans="1:15" x14ac:dyDescent="0.25">
      <c r="A108" s="76" t="s">
        <v>1139</v>
      </c>
      <c r="B108" s="76" t="s">
        <v>502</v>
      </c>
      <c r="C108" s="76" t="s">
        <v>353</v>
      </c>
      <c r="D108" s="76" t="s">
        <v>398</v>
      </c>
      <c r="E108" s="77">
        <v>3</v>
      </c>
      <c r="F108" s="103">
        <v>42856</v>
      </c>
      <c r="H108" s="78">
        <v>119500</v>
      </c>
      <c r="J108" s="100">
        <f>IF($F108&lt;DATE(Assumptions!$B$7,1,1),1,IF(YEAR($F108)&gt;Assumptions!$B$7,13,MONTH($F108)))</f>
        <v>1</v>
      </c>
      <c r="K108" s="100">
        <f>IF(OR($G108="",$G108&gt;Assumptions!$B$6),Assumptions!$B$8,IF($G108&lt;DATE(Assumptions!$B$7,1,1),0,MONTH($G108)))</f>
        <v>8</v>
      </c>
      <c r="L108" s="113">
        <f t="shared" si="3"/>
        <v>8</v>
      </c>
      <c r="M108" s="82">
        <f t="shared" si="4"/>
        <v>79666.666666666672</v>
      </c>
      <c r="N108" s="100">
        <f>IF(AND($F108&lt;=Assumptions!$B$6,OR($G108="",$G108&gt;Assumptions!$B$6)),1,0)</f>
        <v>1</v>
      </c>
      <c r="O108" s="82">
        <f t="shared" si="5"/>
        <v>119500</v>
      </c>
    </row>
    <row r="109" spans="1:15" x14ac:dyDescent="0.25">
      <c r="A109" s="76" t="s">
        <v>1140</v>
      </c>
      <c r="B109" s="76" t="s">
        <v>503</v>
      </c>
      <c r="C109" s="76" t="s">
        <v>353</v>
      </c>
      <c r="D109" s="76" t="s">
        <v>407</v>
      </c>
      <c r="E109" s="77">
        <v>1</v>
      </c>
      <c r="F109" s="103">
        <v>43040</v>
      </c>
      <c r="H109" s="78">
        <v>55200</v>
      </c>
      <c r="J109" s="100">
        <f>IF($F109&lt;DATE(Assumptions!$B$7,1,1),1,IF(YEAR($F109)&gt;Assumptions!$B$7,13,MONTH($F109)))</f>
        <v>1</v>
      </c>
      <c r="K109" s="100">
        <f>IF(OR($G109="",$G109&gt;Assumptions!$B$6),Assumptions!$B$8,IF($G109&lt;DATE(Assumptions!$B$7,1,1),0,MONTH($G109)))</f>
        <v>8</v>
      </c>
      <c r="L109" s="113">
        <f t="shared" si="3"/>
        <v>8</v>
      </c>
      <c r="M109" s="82">
        <f t="shared" si="4"/>
        <v>36800</v>
      </c>
      <c r="N109" s="100">
        <f>IF(AND($F109&lt;=Assumptions!$B$6,OR($G109="",$G109&gt;Assumptions!$B$6)),1,0)</f>
        <v>1</v>
      </c>
      <c r="O109" s="82">
        <f t="shared" si="5"/>
        <v>55200</v>
      </c>
    </row>
    <row r="110" spans="1:15" x14ac:dyDescent="0.25">
      <c r="A110" s="76" t="s">
        <v>1141</v>
      </c>
      <c r="B110" s="76" t="s">
        <v>504</v>
      </c>
      <c r="C110" s="76" t="s">
        <v>353</v>
      </c>
      <c r="D110" s="76" t="s">
        <v>398</v>
      </c>
      <c r="E110" s="77">
        <v>3</v>
      </c>
      <c r="F110" s="103">
        <v>42064</v>
      </c>
      <c r="H110" s="78">
        <v>126000</v>
      </c>
      <c r="J110" s="100">
        <f>IF($F110&lt;DATE(Assumptions!$B$7,1,1),1,IF(YEAR($F110)&gt;Assumptions!$B$7,13,MONTH($F110)))</f>
        <v>1</v>
      </c>
      <c r="K110" s="100">
        <f>IF(OR($G110="",$G110&gt;Assumptions!$B$6),Assumptions!$B$8,IF($G110&lt;DATE(Assumptions!$B$7,1,1),0,MONTH($G110)))</f>
        <v>8</v>
      </c>
      <c r="L110" s="113">
        <f t="shared" si="3"/>
        <v>8</v>
      </c>
      <c r="M110" s="82">
        <f t="shared" si="4"/>
        <v>84000</v>
      </c>
      <c r="N110" s="100">
        <f>IF(AND($F110&lt;=Assumptions!$B$6,OR($G110="",$G110&gt;Assumptions!$B$6)),1,0)</f>
        <v>1</v>
      </c>
      <c r="O110" s="82">
        <f t="shared" si="5"/>
        <v>126000</v>
      </c>
    </row>
    <row r="111" spans="1:15" x14ac:dyDescent="0.25">
      <c r="A111" s="76" t="s">
        <v>1142</v>
      </c>
      <c r="B111" s="76" t="s">
        <v>505</v>
      </c>
      <c r="C111" s="76" t="s">
        <v>353</v>
      </c>
      <c r="D111" s="76" t="s">
        <v>407</v>
      </c>
      <c r="E111" s="77">
        <v>1</v>
      </c>
      <c r="F111" s="103">
        <v>45748</v>
      </c>
      <c r="H111" s="78">
        <v>63100</v>
      </c>
      <c r="J111" s="100">
        <f>IF($F111&lt;DATE(Assumptions!$B$7,1,1),1,IF(YEAR($F111)&gt;Assumptions!$B$7,13,MONTH($F111)))</f>
        <v>1</v>
      </c>
      <c r="K111" s="100">
        <f>IF(OR($G111="",$G111&gt;Assumptions!$B$6),Assumptions!$B$8,IF($G111&lt;DATE(Assumptions!$B$7,1,1),0,MONTH($G111)))</f>
        <v>8</v>
      </c>
      <c r="L111" s="113">
        <f t="shared" si="3"/>
        <v>8</v>
      </c>
      <c r="M111" s="82">
        <f t="shared" si="4"/>
        <v>42066.666666666664</v>
      </c>
      <c r="N111" s="100">
        <f>IF(AND($F111&lt;=Assumptions!$B$6,OR($G111="",$G111&gt;Assumptions!$B$6)),1,0)</f>
        <v>1</v>
      </c>
      <c r="O111" s="82">
        <f t="shared" si="5"/>
        <v>63100</v>
      </c>
    </row>
    <row r="112" spans="1:15" x14ac:dyDescent="0.25">
      <c r="A112" s="76" t="s">
        <v>1143</v>
      </c>
      <c r="B112" s="76" t="s">
        <v>506</v>
      </c>
      <c r="C112" s="76" t="s">
        <v>353</v>
      </c>
      <c r="D112" s="76" t="s">
        <v>398</v>
      </c>
      <c r="E112" s="77">
        <v>3</v>
      </c>
      <c r="F112" s="103">
        <v>44531</v>
      </c>
      <c r="H112" s="78">
        <v>124300</v>
      </c>
      <c r="J112" s="100">
        <f>IF($F112&lt;DATE(Assumptions!$B$7,1,1),1,IF(YEAR($F112)&gt;Assumptions!$B$7,13,MONTH($F112)))</f>
        <v>1</v>
      </c>
      <c r="K112" s="100">
        <f>IF(OR($G112="",$G112&gt;Assumptions!$B$6),Assumptions!$B$8,IF($G112&lt;DATE(Assumptions!$B$7,1,1),0,MONTH($G112)))</f>
        <v>8</v>
      </c>
      <c r="L112" s="113">
        <f t="shared" si="3"/>
        <v>8</v>
      </c>
      <c r="M112" s="82">
        <f t="shared" si="4"/>
        <v>82866.666666666672</v>
      </c>
      <c r="N112" s="100">
        <f>IF(AND($F112&lt;=Assumptions!$B$6,OR($G112="",$G112&gt;Assumptions!$B$6)),1,0)</f>
        <v>1</v>
      </c>
      <c r="O112" s="82">
        <f t="shared" si="5"/>
        <v>124300</v>
      </c>
    </row>
    <row r="113" spans="1:15" x14ac:dyDescent="0.25">
      <c r="A113" s="76" t="s">
        <v>1144</v>
      </c>
      <c r="B113" s="76" t="s">
        <v>507</v>
      </c>
      <c r="C113" s="76" t="s">
        <v>353</v>
      </c>
      <c r="D113" s="76" t="s">
        <v>407</v>
      </c>
      <c r="E113" s="77">
        <v>1</v>
      </c>
      <c r="F113" s="103">
        <v>41852</v>
      </c>
      <c r="H113" s="78">
        <v>65800</v>
      </c>
      <c r="J113" s="100">
        <f>IF($F113&lt;DATE(Assumptions!$B$7,1,1),1,IF(YEAR($F113)&gt;Assumptions!$B$7,13,MONTH($F113)))</f>
        <v>1</v>
      </c>
      <c r="K113" s="100">
        <f>IF(OR($G113="",$G113&gt;Assumptions!$B$6),Assumptions!$B$8,IF($G113&lt;DATE(Assumptions!$B$7,1,1),0,MONTH($G113)))</f>
        <v>8</v>
      </c>
      <c r="L113" s="113">
        <f t="shared" si="3"/>
        <v>8</v>
      </c>
      <c r="M113" s="82">
        <f t="shared" si="4"/>
        <v>43866.666666666664</v>
      </c>
      <c r="N113" s="100">
        <f>IF(AND($F113&lt;=Assumptions!$B$6,OR($G113="",$G113&gt;Assumptions!$B$6)),1,0)</f>
        <v>1</v>
      </c>
      <c r="O113" s="82">
        <f t="shared" si="5"/>
        <v>65800</v>
      </c>
    </row>
    <row r="114" spans="1:15" x14ac:dyDescent="0.25">
      <c r="A114" s="76" t="s">
        <v>1145</v>
      </c>
      <c r="B114" s="76" t="s">
        <v>508</v>
      </c>
      <c r="C114" s="76" t="s">
        <v>353</v>
      </c>
      <c r="D114" s="76" t="s">
        <v>405</v>
      </c>
      <c r="E114" s="77">
        <v>1</v>
      </c>
      <c r="F114" s="103">
        <v>43252</v>
      </c>
      <c r="H114" s="78">
        <v>63600</v>
      </c>
      <c r="J114" s="100">
        <f>IF($F114&lt;DATE(Assumptions!$B$7,1,1),1,IF(YEAR($F114)&gt;Assumptions!$B$7,13,MONTH($F114)))</f>
        <v>1</v>
      </c>
      <c r="K114" s="100">
        <f>IF(OR($G114="",$G114&gt;Assumptions!$B$6),Assumptions!$B$8,IF($G114&lt;DATE(Assumptions!$B$7,1,1),0,MONTH($G114)))</f>
        <v>8</v>
      </c>
      <c r="L114" s="113">
        <f t="shared" si="3"/>
        <v>8</v>
      </c>
      <c r="M114" s="82">
        <f t="shared" si="4"/>
        <v>42400</v>
      </c>
      <c r="N114" s="100">
        <f>IF(AND($F114&lt;=Assumptions!$B$6,OR($G114="",$G114&gt;Assumptions!$B$6)),1,0)</f>
        <v>1</v>
      </c>
      <c r="O114" s="82">
        <f t="shared" si="5"/>
        <v>63600</v>
      </c>
    </row>
    <row r="115" spans="1:15" x14ac:dyDescent="0.25">
      <c r="A115" s="76" t="s">
        <v>1146</v>
      </c>
      <c r="B115" s="76" t="s">
        <v>509</v>
      </c>
      <c r="C115" s="76" t="s">
        <v>353</v>
      </c>
      <c r="D115" s="76" t="s">
        <v>446</v>
      </c>
      <c r="E115" s="77">
        <v>4</v>
      </c>
      <c r="F115" s="103">
        <v>44378</v>
      </c>
      <c r="H115" s="78">
        <v>173600</v>
      </c>
      <c r="J115" s="100">
        <f>IF($F115&lt;DATE(Assumptions!$B$7,1,1),1,IF(YEAR($F115)&gt;Assumptions!$B$7,13,MONTH($F115)))</f>
        <v>1</v>
      </c>
      <c r="K115" s="100">
        <f>IF(OR($G115="",$G115&gt;Assumptions!$B$6),Assumptions!$B$8,IF($G115&lt;DATE(Assumptions!$B$7,1,1),0,MONTH($G115)))</f>
        <v>8</v>
      </c>
      <c r="L115" s="113">
        <f t="shared" si="3"/>
        <v>8</v>
      </c>
      <c r="M115" s="82">
        <f t="shared" si="4"/>
        <v>115733.33333333333</v>
      </c>
      <c r="N115" s="100">
        <f>IF(AND($F115&lt;=Assumptions!$B$6,OR($G115="",$G115&gt;Assumptions!$B$6)),1,0)</f>
        <v>1</v>
      </c>
      <c r="O115" s="82">
        <f t="shared" si="5"/>
        <v>173600</v>
      </c>
    </row>
    <row r="116" spans="1:15" x14ac:dyDescent="0.25">
      <c r="A116" s="76" t="s">
        <v>1147</v>
      </c>
      <c r="B116" s="76" t="s">
        <v>510</v>
      </c>
      <c r="C116" s="76" t="s">
        <v>353</v>
      </c>
      <c r="D116" s="76" t="s">
        <v>401</v>
      </c>
      <c r="E116" s="77">
        <v>2</v>
      </c>
      <c r="F116" s="103">
        <v>43862</v>
      </c>
      <c r="H116" s="78">
        <v>95100</v>
      </c>
      <c r="J116" s="100">
        <f>IF($F116&lt;DATE(Assumptions!$B$7,1,1),1,IF(YEAR($F116)&gt;Assumptions!$B$7,13,MONTH($F116)))</f>
        <v>1</v>
      </c>
      <c r="K116" s="100">
        <f>IF(OR($G116="",$G116&gt;Assumptions!$B$6),Assumptions!$B$8,IF($G116&lt;DATE(Assumptions!$B$7,1,1),0,MONTH($G116)))</f>
        <v>8</v>
      </c>
      <c r="L116" s="113">
        <f t="shared" si="3"/>
        <v>8</v>
      </c>
      <c r="M116" s="82">
        <f t="shared" si="4"/>
        <v>63400</v>
      </c>
      <c r="N116" s="100">
        <f>IF(AND($F116&lt;=Assumptions!$B$6,OR($G116="",$G116&gt;Assumptions!$B$6)),1,0)</f>
        <v>1</v>
      </c>
      <c r="O116" s="82">
        <f t="shared" si="5"/>
        <v>95100</v>
      </c>
    </row>
    <row r="117" spans="1:15" x14ac:dyDescent="0.25">
      <c r="A117" s="76" t="s">
        <v>1148</v>
      </c>
      <c r="B117" s="76" t="s">
        <v>511</v>
      </c>
      <c r="C117" s="76" t="s">
        <v>353</v>
      </c>
      <c r="D117" s="76" t="s">
        <v>405</v>
      </c>
      <c r="E117" s="77">
        <v>1</v>
      </c>
      <c r="F117" s="103">
        <v>43952</v>
      </c>
      <c r="H117" s="78">
        <v>66100</v>
      </c>
      <c r="J117" s="100">
        <f>IF($F117&lt;DATE(Assumptions!$B$7,1,1),1,IF(YEAR($F117)&gt;Assumptions!$B$7,13,MONTH($F117)))</f>
        <v>1</v>
      </c>
      <c r="K117" s="100">
        <f>IF(OR($G117="",$G117&gt;Assumptions!$B$6),Assumptions!$B$8,IF($G117&lt;DATE(Assumptions!$B$7,1,1),0,MONTH($G117)))</f>
        <v>8</v>
      </c>
      <c r="L117" s="113">
        <f t="shared" si="3"/>
        <v>8</v>
      </c>
      <c r="M117" s="82">
        <f t="shared" si="4"/>
        <v>44066.666666666664</v>
      </c>
      <c r="N117" s="100">
        <f>IF(AND($F117&lt;=Assumptions!$B$6,OR($G117="",$G117&gt;Assumptions!$B$6)),1,0)</f>
        <v>1</v>
      </c>
      <c r="O117" s="82">
        <f t="shared" si="5"/>
        <v>66100</v>
      </c>
    </row>
    <row r="118" spans="1:15" x14ac:dyDescent="0.25">
      <c r="A118" s="76" t="s">
        <v>1149</v>
      </c>
      <c r="B118" s="76" t="s">
        <v>512</v>
      </c>
      <c r="C118" s="76" t="s">
        <v>353</v>
      </c>
      <c r="D118" s="76" t="s">
        <v>405</v>
      </c>
      <c r="E118" s="77">
        <v>1</v>
      </c>
      <c r="F118" s="103">
        <v>43586</v>
      </c>
      <c r="H118" s="78">
        <v>53900</v>
      </c>
      <c r="J118" s="100">
        <f>IF($F118&lt;DATE(Assumptions!$B$7,1,1),1,IF(YEAR($F118)&gt;Assumptions!$B$7,13,MONTH($F118)))</f>
        <v>1</v>
      </c>
      <c r="K118" s="100">
        <f>IF(OR($G118="",$G118&gt;Assumptions!$B$6),Assumptions!$B$8,IF($G118&lt;DATE(Assumptions!$B$7,1,1),0,MONTH($G118)))</f>
        <v>8</v>
      </c>
      <c r="L118" s="113">
        <f t="shared" si="3"/>
        <v>8</v>
      </c>
      <c r="M118" s="82">
        <f t="shared" si="4"/>
        <v>35933.333333333336</v>
      </c>
      <c r="N118" s="100">
        <f>IF(AND($F118&lt;=Assumptions!$B$6,OR($G118="",$G118&gt;Assumptions!$B$6)),1,0)</f>
        <v>1</v>
      </c>
      <c r="O118" s="82">
        <f t="shared" si="5"/>
        <v>53900</v>
      </c>
    </row>
    <row r="119" spans="1:15" x14ac:dyDescent="0.25">
      <c r="A119" s="76" t="s">
        <v>1150</v>
      </c>
      <c r="B119" s="76" t="s">
        <v>513</v>
      </c>
      <c r="C119" s="76" t="s">
        <v>353</v>
      </c>
      <c r="D119" s="76" t="s">
        <v>401</v>
      </c>
      <c r="E119" s="77">
        <v>2</v>
      </c>
      <c r="F119" s="103">
        <v>46054</v>
      </c>
      <c r="H119" s="78">
        <v>93000</v>
      </c>
      <c r="J119" s="100">
        <f>IF($F119&lt;DATE(Assumptions!$B$7,1,1),1,IF(YEAR($F119)&gt;Assumptions!$B$7,13,MONTH($F119)))</f>
        <v>2</v>
      </c>
      <c r="K119" s="100">
        <f>IF(OR($G119="",$G119&gt;Assumptions!$B$6),Assumptions!$B$8,IF($G119&lt;DATE(Assumptions!$B$7,1,1),0,MONTH($G119)))</f>
        <v>8</v>
      </c>
      <c r="L119" s="113">
        <f t="shared" si="3"/>
        <v>7</v>
      </c>
      <c r="M119" s="82">
        <f t="shared" si="4"/>
        <v>54250</v>
      </c>
      <c r="N119" s="100">
        <f>IF(AND($F119&lt;=Assumptions!$B$6,OR($G119="",$G119&gt;Assumptions!$B$6)),1,0)</f>
        <v>1</v>
      </c>
      <c r="O119" s="82">
        <f t="shared" si="5"/>
        <v>93000</v>
      </c>
    </row>
    <row r="120" spans="1:15" x14ac:dyDescent="0.25">
      <c r="A120" s="76" t="s">
        <v>1151</v>
      </c>
      <c r="B120" s="76" t="s">
        <v>514</v>
      </c>
      <c r="C120" s="76" t="s">
        <v>353</v>
      </c>
      <c r="D120" s="76" t="s">
        <v>407</v>
      </c>
      <c r="E120" s="77">
        <v>1</v>
      </c>
      <c r="F120" s="103">
        <v>46204</v>
      </c>
      <c r="H120" s="78">
        <v>60000</v>
      </c>
      <c r="J120" s="100">
        <f>IF($F120&lt;DATE(Assumptions!$B$7,1,1),1,IF(YEAR($F120)&gt;Assumptions!$B$7,13,MONTH($F120)))</f>
        <v>7</v>
      </c>
      <c r="K120" s="100">
        <f>IF(OR($G120="",$G120&gt;Assumptions!$B$6),Assumptions!$B$8,IF($G120&lt;DATE(Assumptions!$B$7,1,1),0,MONTH($G120)))</f>
        <v>8</v>
      </c>
      <c r="L120" s="113">
        <f t="shared" si="3"/>
        <v>2</v>
      </c>
      <c r="M120" s="82">
        <f t="shared" si="4"/>
        <v>10000</v>
      </c>
      <c r="N120" s="100">
        <f>IF(AND($F120&lt;=Assumptions!$B$6,OR($G120="",$G120&gt;Assumptions!$B$6)),1,0)</f>
        <v>1</v>
      </c>
      <c r="O120" s="82">
        <f t="shared" si="5"/>
        <v>60000</v>
      </c>
    </row>
    <row r="121" spans="1:15" x14ac:dyDescent="0.25">
      <c r="A121" s="76" t="s">
        <v>1152</v>
      </c>
      <c r="B121" s="76" t="s">
        <v>516</v>
      </c>
      <c r="C121" s="76" t="s">
        <v>353</v>
      </c>
      <c r="D121" s="76" t="s">
        <v>405</v>
      </c>
      <c r="E121" s="77">
        <v>1</v>
      </c>
      <c r="F121" s="103">
        <v>46143</v>
      </c>
      <c r="H121" s="78">
        <v>59000</v>
      </c>
      <c r="J121" s="100">
        <f>IF($F121&lt;DATE(Assumptions!$B$7,1,1),1,IF(YEAR($F121)&gt;Assumptions!$B$7,13,MONTH($F121)))</f>
        <v>5</v>
      </c>
      <c r="K121" s="100">
        <f>IF(OR($G121="",$G121&gt;Assumptions!$B$6),Assumptions!$B$8,IF($G121&lt;DATE(Assumptions!$B$7,1,1),0,MONTH($G121)))</f>
        <v>8</v>
      </c>
      <c r="L121" s="113">
        <f t="shared" si="3"/>
        <v>4</v>
      </c>
      <c r="M121" s="82">
        <f t="shared" si="4"/>
        <v>19666.666666666668</v>
      </c>
      <c r="N121" s="100">
        <f>IF(AND($F121&lt;=Assumptions!$B$6,OR($G121="",$G121&gt;Assumptions!$B$6)),1,0)</f>
        <v>1</v>
      </c>
      <c r="O121" s="82">
        <f t="shared" si="5"/>
        <v>59000</v>
      </c>
    </row>
    <row r="122" spans="1:15" x14ac:dyDescent="0.25">
      <c r="A122" s="76" t="s">
        <v>1153</v>
      </c>
      <c r="B122" s="76" t="s">
        <v>518</v>
      </c>
      <c r="C122" s="76" t="s">
        <v>353</v>
      </c>
      <c r="D122" s="76" t="s">
        <v>407</v>
      </c>
      <c r="E122" s="77">
        <v>1</v>
      </c>
      <c r="F122" s="103">
        <v>46204</v>
      </c>
      <c r="H122" s="78">
        <v>63500</v>
      </c>
      <c r="J122" s="100">
        <f>IF($F122&lt;DATE(Assumptions!$B$7,1,1),1,IF(YEAR($F122)&gt;Assumptions!$B$7,13,MONTH($F122)))</f>
        <v>7</v>
      </c>
      <c r="K122" s="100">
        <f>IF(OR($G122="",$G122&gt;Assumptions!$B$6),Assumptions!$B$8,IF($G122&lt;DATE(Assumptions!$B$7,1,1),0,MONTH($G122)))</f>
        <v>8</v>
      </c>
      <c r="L122" s="113">
        <f t="shared" si="3"/>
        <v>2</v>
      </c>
      <c r="M122" s="82">
        <f t="shared" si="4"/>
        <v>10583.333333333334</v>
      </c>
      <c r="N122" s="100">
        <f>IF(AND($F122&lt;=Assumptions!$B$6,OR($G122="",$G122&gt;Assumptions!$B$6)),1,0)</f>
        <v>1</v>
      </c>
      <c r="O122" s="82">
        <f t="shared" si="5"/>
        <v>63500</v>
      </c>
    </row>
    <row r="123" spans="1:15" x14ac:dyDescent="0.25">
      <c r="A123" s="76" t="s">
        <v>1154</v>
      </c>
      <c r="B123" s="76" t="s">
        <v>519</v>
      </c>
      <c r="C123" s="76" t="s">
        <v>362</v>
      </c>
      <c r="D123" s="76" t="s">
        <v>520</v>
      </c>
      <c r="E123" s="77">
        <v>2</v>
      </c>
      <c r="F123" s="103">
        <v>44470</v>
      </c>
      <c r="H123" s="78">
        <v>79500</v>
      </c>
      <c r="J123" s="100">
        <f>IF($F123&lt;DATE(Assumptions!$B$7,1,1),1,IF(YEAR($F123)&gt;Assumptions!$B$7,13,MONTH($F123)))</f>
        <v>1</v>
      </c>
      <c r="K123" s="100">
        <f>IF(OR($G123="",$G123&gt;Assumptions!$B$6),Assumptions!$B$8,IF($G123&lt;DATE(Assumptions!$B$7,1,1),0,MONTH($G123)))</f>
        <v>8</v>
      </c>
      <c r="L123" s="113">
        <f t="shared" si="3"/>
        <v>8</v>
      </c>
      <c r="M123" s="82">
        <f t="shared" si="4"/>
        <v>53000</v>
      </c>
      <c r="N123" s="100">
        <f>IF(AND($F123&lt;=Assumptions!$B$6,OR($G123="",$G123&gt;Assumptions!$B$6)),1,0)</f>
        <v>1</v>
      </c>
      <c r="O123" s="82">
        <f t="shared" si="5"/>
        <v>79500</v>
      </c>
    </row>
    <row r="124" spans="1:15" x14ac:dyDescent="0.25">
      <c r="A124" s="76" t="s">
        <v>1155</v>
      </c>
      <c r="B124" s="76" t="s">
        <v>521</v>
      </c>
      <c r="C124" s="76" t="s">
        <v>362</v>
      </c>
      <c r="D124" s="76" t="s">
        <v>522</v>
      </c>
      <c r="E124" s="77">
        <v>1</v>
      </c>
      <c r="F124" s="103">
        <v>45505</v>
      </c>
      <c r="H124" s="78">
        <v>59700</v>
      </c>
      <c r="J124" s="100">
        <f>IF($F124&lt;DATE(Assumptions!$B$7,1,1),1,IF(YEAR($F124)&gt;Assumptions!$B$7,13,MONTH($F124)))</f>
        <v>1</v>
      </c>
      <c r="K124" s="100">
        <f>IF(OR($G124="",$G124&gt;Assumptions!$B$6),Assumptions!$B$8,IF($G124&lt;DATE(Assumptions!$B$7,1,1),0,MONTH($G124)))</f>
        <v>8</v>
      </c>
      <c r="L124" s="113">
        <f t="shared" si="3"/>
        <v>8</v>
      </c>
      <c r="M124" s="82">
        <f t="shared" si="4"/>
        <v>39800</v>
      </c>
      <c r="N124" s="100">
        <f>IF(AND($F124&lt;=Assumptions!$B$6,OR($G124="",$G124&gt;Assumptions!$B$6)),1,0)</f>
        <v>1</v>
      </c>
      <c r="O124" s="82">
        <f t="shared" si="5"/>
        <v>59700</v>
      </c>
    </row>
    <row r="125" spans="1:15" x14ac:dyDescent="0.25">
      <c r="A125" s="76" t="s">
        <v>1156</v>
      </c>
      <c r="B125" s="76" t="s">
        <v>523</v>
      </c>
      <c r="C125" s="76" t="s">
        <v>362</v>
      </c>
      <c r="D125" s="76" t="s">
        <v>522</v>
      </c>
      <c r="E125" s="77">
        <v>1</v>
      </c>
      <c r="F125" s="103">
        <v>42430</v>
      </c>
      <c r="H125" s="78">
        <v>60100</v>
      </c>
      <c r="J125" s="100">
        <f>IF($F125&lt;DATE(Assumptions!$B$7,1,1),1,IF(YEAR($F125)&gt;Assumptions!$B$7,13,MONTH($F125)))</f>
        <v>1</v>
      </c>
      <c r="K125" s="100">
        <f>IF(OR($G125="",$G125&gt;Assumptions!$B$6),Assumptions!$B$8,IF($G125&lt;DATE(Assumptions!$B$7,1,1),0,MONTH($G125)))</f>
        <v>8</v>
      </c>
      <c r="L125" s="113">
        <f t="shared" si="3"/>
        <v>8</v>
      </c>
      <c r="M125" s="82">
        <f t="shared" si="4"/>
        <v>40066.666666666664</v>
      </c>
      <c r="N125" s="100">
        <f>IF(AND($F125&lt;=Assumptions!$B$6,OR($G125="",$G125&gt;Assumptions!$B$6)),1,0)</f>
        <v>1</v>
      </c>
      <c r="O125" s="82">
        <f t="shared" si="5"/>
        <v>60100</v>
      </c>
    </row>
    <row r="126" spans="1:15" x14ac:dyDescent="0.25">
      <c r="A126" s="76" t="s">
        <v>1157</v>
      </c>
      <c r="B126" s="76" t="s">
        <v>524</v>
      </c>
      <c r="C126" s="76" t="s">
        <v>362</v>
      </c>
      <c r="D126" s="76" t="s">
        <v>522</v>
      </c>
      <c r="E126" s="77">
        <v>1</v>
      </c>
      <c r="F126" s="103">
        <v>42614</v>
      </c>
      <c r="H126" s="78">
        <v>52800</v>
      </c>
      <c r="J126" s="100">
        <f>IF($F126&lt;DATE(Assumptions!$B$7,1,1),1,IF(YEAR($F126)&gt;Assumptions!$B$7,13,MONTH($F126)))</f>
        <v>1</v>
      </c>
      <c r="K126" s="100">
        <f>IF(OR($G126="",$G126&gt;Assumptions!$B$6),Assumptions!$B$8,IF($G126&lt;DATE(Assumptions!$B$7,1,1),0,MONTH($G126)))</f>
        <v>8</v>
      </c>
      <c r="L126" s="113">
        <f t="shared" si="3"/>
        <v>8</v>
      </c>
      <c r="M126" s="82">
        <f t="shared" si="4"/>
        <v>35200</v>
      </c>
      <c r="N126" s="100">
        <f>IF(AND($F126&lt;=Assumptions!$B$6,OR($G126="",$G126&gt;Assumptions!$B$6)),1,0)</f>
        <v>1</v>
      </c>
      <c r="O126" s="82">
        <f t="shared" si="5"/>
        <v>52800</v>
      </c>
    </row>
    <row r="127" spans="1:15" x14ac:dyDescent="0.25">
      <c r="A127" s="76" t="s">
        <v>1158</v>
      </c>
      <c r="B127" s="76" t="s">
        <v>525</v>
      </c>
      <c r="C127" s="76" t="s">
        <v>362</v>
      </c>
      <c r="D127" s="76" t="s">
        <v>526</v>
      </c>
      <c r="E127" s="77">
        <v>3</v>
      </c>
      <c r="F127" s="103">
        <v>41913</v>
      </c>
      <c r="H127" s="78">
        <v>134800</v>
      </c>
      <c r="J127" s="100">
        <f>IF($F127&lt;DATE(Assumptions!$B$7,1,1),1,IF(YEAR($F127)&gt;Assumptions!$B$7,13,MONTH($F127)))</f>
        <v>1</v>
      </c>
      <c r="K127" s="100">
        <f>IF(OR($G127="",$G127&gt;Assumptions!$B$6),Assumptions!$B$8,IF($G127&lt;DATE(Assumptions!$B$7,1,1),0,MONTH($G127)))</f>
        <v>8</v>
      </c>
      <c r="L127" s="113">
        <f t="shared" si="3"/>
        <v>8</v>
      </c>
      <c r="M127" s="82">
        <f t="shared" si="4"/>
        <v>89866.666666666672</v>
      </c>
      <c r="N127" s="100">
        <f>IF(AND($F127&lt;=Assumptions!$B$6,OR($G127="",$G127&gt;Assumptions!$B$6)),1,0)</f>
        <v>1</v>
      </c>
      <c r="O127" s="82">
        <f t="shared" si="5"/>
        <v>134800</v>
      </c>
    </row>
    <row r="128" spans="1:15" x14ac:dyDescent="0.25">
      <c r="A128" s="76" t="s">
        <v>1159</v>
      </c>
      <c r="B128" s="76" t="s">
        <v>527</v>
      </c>
      <c r="C128" s="76" t="s">
        <v>362</v>
      </c>
      <c r="D128" s="76" t="s">
        <v>526</v>
      </c>
      <c r="E128" s="77">
        <v>3</v>
      </c>
      <c r="F128" s="103">
        <v>44470</v>
      </c>
      <c r="H128" s="78">
        <v>119800</v>
      </c>
      <c r="J128" s="100">
        <f>IF($F128&lt;DATE(Assumptions!$B$7,1,1),1,IF(YEAR($F128)&gt;Assumptions!$B$7,13,MONTH($F128)))</f>
        <v>1</v>
      </c>
      <c r="K128" s="100">
        <f>IF(OR($G128="",$G128&gt;Assumptions!$B$6),Assumptions!$B$8,IF($G128&lt;DATE(Assumptions!$B$7,1,1),0,MONTH($G128)))</f>
        <v>8</v>
      </c>
      <c r="L128" s="113">
        <f t="shared" si="3"/>
        <v>8</v>
      </c>
      <c r="M128" s="82">
        <f t="shared" si="4"/>
        <v>79866.666666666672</v>
      </c>
      <c r="N128" s="100">
        <f>IF(AND($F128&lt;=Assumptions!$B$6,OR($G128="",$G128&gt;Assumptions!$B$6)),1,0)</f>
        <v>1</v>
      </c>
      <c r="O128" s="82">
        <f t="shared" si="5"/>
        <v>119800</v>
      </c>
    </row>
    <row r="129" spans="1:15" x14ac:dyDescent="0.25">
      <c r="A129" s="76" t="s">
        <v>1160</v>
      </c>
      <c r="B129" s="76" t="s">
        <v>528</v>
      </c>
      <c r="C129" s="76" t="s">
        <v>362</v>
      </c>
      <c r="D129" s="76" t="s">
        <v>526</v>
      </c>
      <c r="E129" s="77">
        <v>3</v>
      </c>
      <c r="F129" s="103">
        <v>45078</v>
      </c>
      <c r="H129" s="78">
        <v>111500</v>
      </c>
      <c r="J129" s="100">
        <f>IF($F129&lt;DATE(Assumptions!$B$7,1,1),1,IF(YEAR($F129)&gt;Assumptions!$B$7,13,MONTH($F129)))</f>
        <v>1</v>
      </c>
      <c r="K129" s="100">
        <f>IF(OR($G129="",$G129&gt;Assumptions!$B$6),Assumptions!$B$8,IF($G129&lt;DATE(Assumptions!$B$7,1,1),0,MONTH($G129)))</f>
        <v>8</v>
      </c>
      <c r="L129" s="113">
        <f t="shared" si="3"/>
        <v>8</v>
      </c>
      <c r="M129" s="82">
        <f t="shared" si="4"/>
        <v>74333.333333333328</v>
      </c>
      <c r="N129" s="100">
        <f>IF(AND($F129&lt;=Assumptions!$B$6,OR($G129="",$G129&gt;Assumptions!$B$6)),1,0)</f>
        <v>1</v>
      </c>
      <c r="O129" s="82">
        <f t="shared" si="5"/>
        <v>111500</v>
      </c>
    </row>
    <row r="130" spans="1:15" x14ac:dyDescent="0.25">
      <c r="A130" s="76" t="s">
        <v>1161</v>
      </c>
      <c r="B130" s="76" t="s">
        <v>529</v>
      </c>
      <c r="C130" s="76" t="s">
        <v>362</v>
      </c>
      <c r="D130" s="76" t="s">
        <v>522</v>
      </c>
      <c r="E130" s="77">
        <v>1</v>
      </c>
      <c r="F130" s="103">
        <v>45717</v>
      </c>
      <c r="H130" s="78">
        <v>59400</v>
      </c>
      <c r="J130" s="100">
        <f>IF($F130&lt;DATE(Assumptions!$B$7,1,1),1,IF(YEAR($F130)&gt;Assumptions!$B$7,13,MONTH($F130)))</f>
        <v>1</v>
      </c>
      <c r="K130" s="100">
        <f>IF(OR($G130="",$G130&gt;Assumptions!$B$6),Assumptions!$B$8,IF($G130&lt;DATE(Assumptions!$B$7,1,1),0,MONTH($G130)))</f>
        <v>8</v>
      </c>
      <c r="L130" s="113">
        <f t="shared" si="3"/>
        <v>8</v>
      </c>
      <c r="M130" s="82">
        <f t="shared" si="4"/>
        <v>39600</v>
      </c>
      <c r="N130" s="100">
        <f>IF(AND($F130&lt;=Assumptions!$B$6,OR($G130="",$G130&gt;Assumptions!$B$6)),1,0)</f>
        <v>1</v>
      </c>
      <c r="O130" s="82">
        <f t="shared" si="5"/>
        <v>59400</v>
      </c>
    </row>
    <row r="131" spans="1:15" x14ac:dyDescent="0.25">
      <c r="A131" s="76" t="s">
        <v>1162</v>
      </c>
      <c r="B131" s="76" t="s">
        <v>530</v>
      </c>
      <c r="C131" s="76" t="s">
        <v>362</v>
      </c>
      <c r="D131" s="76" t="s">
        <v>520</v>
      </c>
      <c r="E131" s="77">
        <v>2</v>
      </c>
      <c r="F131" s="103">
        <v>43891</v>
      </c>
      <c r="G131" s="103">
        <v>46142</v>
      </c>
      <c r="H131" s="78">
        <v>87100</v>
      </c>
      <c r="J131" s="100">
        <f>IF($F131&lt;DATE(Assumptions!$B$7,1,1),1,IF(YEAR($F131)&gt;Assumptions!$B$7,13,MONTH($F131)))</f>
        <v>1</v>
      </c>
      <c r="K131" s="100">
        <f>IF(OR($G131="",$G131&gt;Assumptions!$B$6),Assumptions!$B$8,IF($G131&lt;DATE(Assumptions!$B$7,1,1),0,MONTH($G131)))</f>
        <v>4</v>
      </c>
      <c r="L131" s="113">
        <f t="shared" si="3"/>
        <v>4</v>
      </c>
      <c r="M131" s="82">
        <f t="shared" si="4"/>
        <v>29033.333333333332</v>
      </c>
      <c r="N131" s="100">
        <f>IF(AND($F131&lt;=Assumptions!$B$6,OR($G131="",$G131&gt;Assumptions!$B$6)),1,0)</f>
        <v>0</v>
      </c>
      <c r="O131" s="82">
        <f t="shared" si="5"/>
        <v>0</v>
      </c>
    </row>
    <row r="132" spans="1:15" x14ac:dyDescent="0.25">
      <c r="A132" s="76" t="s">
        <v>1163</v>
      </c>
      <c r="B132" s="76" t="s">
        <v>530</v>
      </c>
      <c r="C132" s="76" t="s">
        <v>362</v>
      </c>
      <c r="D132" s="76" t="s">
        <v>520</v>
      </c>
      <c r="E132" s="77">
        <v>2</v>
      </c>
      <c r="F132" s="103">
        <v>46174</v>
      </c>
      <c r="H132" s="78">
        <v>93000</v>
      </c>
      <c r="J132" s="100">
        <f>IF($F132&lt;DATE(Assumptions!$B$7,1,1),1,IF(YEAR($F132)&gt;Assumptions!$B$7,13,MONTH($F132)))</f>
        <v>6</v>
      </c>
      <c r="K132" s="100">
        <f>IF(OR($G132="",$G132&gt;Assumptions!$B$6),Assumptions!$B$8,IF($G132&lt;DATE(Assumptions!$B$7,1,1),0,MONTH($G132)))</f>
        <v>8</v>
      </c>
      <c r="L132" s="113">
        <f t="shared" si="3"/>
        <v>3</v>
      </c>
      <c r="M132" s="82">
        <f t="shared" si="4"/>
        <v>23250</v>
      </c>
      <c r="N132" s="100">
        <f>IF(AND($F132&lt;=Assumptions!$B$6,OR($G132="",$G132&gt;Assumptions!$B$6)),1,0)</f>
        <v>1</v>
      </c>
      <c r="O132" s="82">
        <f t="shared" si="5"/>
        <v>93000</v>
      </c>
    </row>
    <row r="133" spans="1:15" x14ac:dyDescent="0.25">
      <c r="A133" s="76" t="s">
        <v>1164</v>
      </c>
      <c r="B133" s="76" t="s">
        <v>531</v>
      </c>
      <c r="C133" s="76" t="s">
        <v>362</v>
      </c>
      <c r="D133" s="76" t="s">
        <v>520</v>
      </c>
      <c r="E133" s="77">
        <v>2</v>
      </c>
      <c r="F133" s="103">
        <v>44927</v>
      </c>
      <c r="H133" s="78">
        <v>86500</v>
      </c>
      <c r="J133" s="100">
        <f>IF($F133&lt;DATE(Assumptions!$B$7,1,1),1,IF(YEAR($F133)&gt;Assumptions!$B$7,13,MONTH($F133)))</f>
        <v>1</v>
      </c>
      <c r="K133" s="100">
        <f>IF(OR($G133="",$G133&gt;Assumptions!$B$6),Assumptions!$B$8,IF($G133&lt;DATE(Assumptions!$B$7,1,1),0,MONTH($G133)))</f>
        <v>8</v>
      </c>
      <c r="L133" s="113">
        <f t="shared" ref="L133:L196" si="6">MAX(0,K133-J133+1)</f>
        <v>8</v>
      </c>
      <c r="M133" s="82">
        <f t="shared" ref="M133:M196" si="7">$H133*L133/12</f>
        <v>57666.666666666664</v>
      </c>
      <c r="N133" s="100">
        <f>IF(AND($F133&lt;=Assumptions!$B$6,OR($G133="",$G133&gt;Assumptions!$B$6)),1,0)</f>
        <v>1</v>
      </c>
      <c r="O133" s="82">
        <f t="shared" ref="O133:O196" si="8">$H133*N133</f>
        <v>86500</v>
      </c>
    </row>
    <row r="134" spans="1:15" x14ac:dyDescent="0.25">
      <c r="A134" s="76" t="s">
        <v>1165</v>
      </c>
      <c r="B134" s="76" t="s">
        <v>532</v>
      </c>
      <c r="C134" s="76" t="s">
        <v>362</v>
      </c>
      <c r="D134" s="76" t="s">
        <v>522</v>
      </c>
      <c r="E134" s="77">
        <v>1</v>
      </c>
      <c r="F134" s="103">
        <v>42948</v>
      </c>
      <c r="H134" s="78">
        <v>56800</v>
      </c>
      <c r="J134" s="100">
        <f>IF($F134&lt;DATE(Assumptions!$B$7,1,1),1,IF(YEAR($F134)&gt;Assumptions!$B$7,13,MONTH($F134)))</f>
        <v>1</v>
      </c>
      <c r="K134" s="100">
        <f>IF(OR($G134="",$G134&gt;Assumptions!$B$6),Assumptions!$B$8,IF($G134&lt;DATE(Assumptions!$B$7,1,1),0,MONTH($G134)))</f>
        <v>8</v>
      </c>
      <c r="L134" s="113">
        <f t="shared" si="6"/>
        <v>8</v>
      </c>
      <c r="M134" s="82">
        <f t="shared" si="7"/>
        <v>37866.666666666664</v>
      </c>
      <c r="N134" s="100">
        <f>IF(AND($F134&lt;=Assumptions!$B$6,OR($G134="",$G134&gt;Assumptions!$B$6)),1,0)</f>
        <v>1</v>
      </c>
      <c r="O134" s="82">
        <f t="shared" si="8"/>
        <v>56800</v>
      </c>
    </row>
    <row r="135" spans="1:15" x14ac:dyDescent="0.25">
      <c r="A135" s="76" t="s">
        <v>1166</v>
      </c>
      <c r="B135" s="76" t="s">
        <v>533</v>
      </c>
      <c r="C135" s="76" t="s">
        <v>362</v>
      </c>
      <c r="D135" s="76" t="s">
        <v>520</v>
      </c>
      <c r="E135" s="77">
        <v>2</v>
      </c>
      <c r="F135" s="103">
        <v>43800</v>
      </c>
      <c r="H135" s="78">
        <v>83400</v>
      </c>
      <c r="J135" s="100">
        <f>IF($F135&lt;DATE(Assumptions!$B$7,1,1),1,IF(YEAR($F135)&gt;Assumptions!$B$7,13,MONTH($F135)))</f>
        <v>1</v>
      </c>
      <c r="K135" s="100">
        <f>IF(OR($G135="",$G135&gt;Assumptions!$B$6),Assumptions!$B$8,IF($G135&lt;DATE(Assumptions!$B$7,1,1),0,MONTH($G135)))</f>
        <v>8</v>
      </c>
      <c r="L135" s="113">
        <f t="shared" si="6"/>
        <v>8</v>
      </c>
      <c r="M135" s="82">
        <f t="shared" si="7"/>
        <v>55600</v>
      </c>
      <c r="N135" s="100">
        <f>IF(AND($F135&lt;=Assumptions!$B$6,OR($G135="",$G135&gt;Assumptions!$B$6)),1,0)</f>
        <v>1</v>
      </c>
      <c r="O135" s="82">
        <f t="shared" si="8"/>
        <v>83400</v>
      </c>
    </row>
    <row r="136" spans="1:15" x14ac:dyDescent="0.25">
      <c r="A136" s="76" t="s">
        <v>1167</v>
      </c>
      <c r="B136" s="76" t="s">
        <v>534</v>
      </c>
      <c r="C136" s="76" t="s">
        <v>362</v>
      </c>
      <c r="D136" s="76" t="s">
        <v>522</v>
      </c>
      <c r="E136" s="77">
        <v>1</v>
      </c>
      <c r="F136" s="103">
        <v>44682</v>
      </c>
      <c r="H136" s="78">
        <v>66700</v>
      </c>
      <c r="J136" s="100">
        <f>IF($F136&lt;DATE(Assumptions!$B$7,1,1),1,IF(YEAR($F136)&gt;Assumptions!$B$7,13,MONTH($F136)))</f>
        <v>1</v>
      </c>
      <c r="K136" s="100">
        <f>IF(OR($G136="",$G136&gt;Assumptions!$B$6),Assumptions!$B$8,IF($G136&lt;DATE(Assumptions!$B$7,1,1),0,MONTH($G136)))</f>
        <v>8</v>
      </c>
      <c r="L136" s="113">
        <f t="shared" si="6"/>
        <v>8</v>
      </c>
      <c r="M136" s="82">
        <f t="shared" si="7"/>
        <v>44466.666666666664</v>
      </c>
      <c r="N136" s="100">
        <f>IF(AND($F136&lt;=Assumptions!$B$6,OR($G136="",$G136&gt;Assumptions!$B$6)),1,0)</f>
        <v>1</v>
      </c>
      <c r="O136" s="82">
        <f t="shared" si="8"/>
        <v>66700</v>
      </c>
    </row>
    <row r="137" spans="1:15" x14ac:dyDescent="0.25">
      <c r="A137" s="76" t="s">
        <v>1168</v>
      </c>
      <c r="B137" s="76" t="s">
        <v>535</v>
      </c>
      <c r="C137" s="76" t="s">
        <v>362</v>
      </c>
      <c r="D137" s="76" t="s">
        <v>520</v>
      </c>
      <c r="E137" s="77">
        <v>2</v>
      </c>
      <c r="F137" s="103">
        <v>44621</v>
      </c>
      <c r="H137" s="78">
        <v>90400</v>
      </c>
      <c r="J137" s="100">
        <f>IF($F137&lt;DATE(Assumptions!$B$7,1,1),1,IF(YEAR($F137)&gt;Assumptions!$B$7,13,MONTH($F137)))</f>
        <v>1</v>
      </c>
      <c r="K137" s="100">
        <f>IF(OR($G137="",$G137&gt;Assumptions!$B$6),Assumptions!$B$8,IF($G137&lt;DATE(Assumptions!$B$7,1,1),0,MONTH($G137)))</f>
        <v>8</v>
      </c>
      <c r="L137" s="113">
        <f t="shared" si="6"/>
        <v>8</v>
      </c>
      <c r="M137" s="82">
        <f t="shared" si="7"/>
        <v>60266.666666666664</v>
      </c>
      <c r="N137" s="100">
        <f>IF(AND($F137&lt;=Assumptions!$B$6,OR($G137="",$G137&gt;Assumptions!$B$6)),1,0)</f>
        <v>1</v>
      </c>
      <c r="O137" s="82">
        <f t="shared" si="8"/>
        <v>90400</v>
      </c>
    </row>
    <row r="138" spans="1:15" x14ac:dyDescent="0.25">
      <c r="A138" s="76" t="s">
        <v>1169</v>
      </c>
      <c r="B138" s="76" t="s">
        <v>536</v>
      </c>
      <c r="C138" s="76" t="s">
        <v>362</v>
      </c>
      <c r="D138" s="76" t="s">
        <v>522</v>
      </c>
      <c r="E138" s="77">
        <v>1</v>
      </c>
      <c r="F138" s="103">
        <v>45901</v>
      </c>
      <c r="H138" s="78">
        <v>61100</v>
      </c>
      <c r="J138" s="100">
        <f>IF($F138&lt;DATE(Assumptions!$B$7,1,1),1,IF(YEAR($F138)&gt;Assumptions!$B$7,13,MONTH($F138)))</f>
        <v>1</v>
      </c>
      <c r="K138" s="100">
        <f>IF(OR($G138="",$G138&gt;Assumptions!$B$6),Assumptions!$B$8,IF($G138&lt;DATE(Assumptions!$B$7,1,1),0,MONTH($G138)))</f>
        <v>8</v>
      </c>
      <c r="L138" s="113">
        <f t="shared" si="6"/>
        <v>8</v>
      </c>
      <c r="M138" s="82">
        <f t="shared" si="7"/>
        <v>40733.333333333336</v>
      </c>
      <c r="N138" s="100">
        <f>IF(AND($F138&lt;=Assumptions!$B$6,OR($G138="",$G138&gt;Assumptions!$B$6)),1,0)</f>
        <v>1</v>
      </c>
      <c r="O138" s="82">
        <f t="shared" si="8"/>
        <v>61100</v>
      </c>
    </row>
    <row r="139" spans="1:15" x14ac:dyDescent="0.25">
      <c r="A139" s="76" t="s">
        <v>1170</v>
      </c>
      <c r="B139" s="76" t="s">
        <v>537</v>
      </c>
      <c r="C139" s="76" t="s">
        <v>362</v>
      </c>
      <c r="D139" s="76" t="s">
        <v>520</v>
      </c>
      <c r="E139" s="77">
        <v>2</v>
      </c>
      <c r="F139" s="103">
        <v>42248</v>
      </c>
      <c r="H139" s="78">
        <v>79300</v>
      </c>
      <c r="J139" s="100">
        <f>IF($F139&lt;DATE(Assumptions!$B$7,1,1),1,IF(YEAR($F139)&gt;Assumptions!$B$7,13,MONTH($F139)))</f>
        <v>1</v>
      </c>
      <c r="K139" s="100">
        <f>IF(OR($G139="",$G139&gt;Assumptions!$B$6),Assumptions!$B$8,IF($G139&lt;DATE(Assumptions!$B$7,1,1),0,MONTH($G139)))</f>
        <v>8</v>
      </c>
      <c r="L139" s="113">
        <f t="shared" si="6"/>
        <v>8</v>
      </c>
      <c r="M139" s="82">
        <f t="shared" si="7"/>
        <v>52866.666666666664</v>
      </c>
      <c r="N139" s="100">
        <f>IF(AND($F139&lt;=Assumptions!$B$6,OR($G139="",$G139&gt;Assumptions!$B$6)),1,0)</f>
        <v>1</v>
      </c>
      <c r="O139" s="82">
        <f t="shared" si="8"/>
        <v>79300</v>
      </c>
    </row>
    <row r="140" spans="1:15" x14ac:dyDescent="0.25">
      <c r="A140" s="76" t="s">
        <v>1171</v>
      </c>
      <c r="B140" s="76" t="s">
        <v>538</v>
      </c>
      <c r="C140" s="76" t="s">
        <v>362</v>
      </c>
      <c r="D140" s="76" t="s">
        <v>522</v>
      </c>
      <c r="E140" s="77">
        <v>1</v>
      </c>
      <c r="F140" s="103">
        <v>45108</v>
      </c>
      <c r="H140" s="78">
        <v>68200</v>
      </c>
      <c r="J140" s="100">
        <f>IF($F140&lt;DATE(Assumptions!$B$7,1,1),1,IF(YEAR($F140)&gt;Assumptions!$B$7,13,MONTH($F140)))</f>
        <v>1</v>
      </c>
      <c r="K140" s="100">
        <f>IF(OR($G140="",$G140&gt;Assumptions!$B$6),Assumptions!$B$8,IF($G140&lt;DATE(Assumptions!$B$7,1,1),0,MONTH($G140)))</f>
        <v>8</v>
      </c>
      <c r="L140" s="113">
        <f t="shared" si="6"/>
        <v>8</v>
      </c>
      <c r="M140" s="82">
        <f t="shared" si="7"/>
        <v>45466.666666666664</v>
      </c>
      <c r="N140" s="100">
        <f>IF(AND($F140&lt;=Assumptions!$B$6,OR($G140="",$G140&gt;Assumptions!$B$6)),1,0)</f>
        <v>1</v>
      </c>
      <c r="O140" s="82">
        <f t="shared" si="8"/>
        <v>68200</v>
      </c>
    </row>
    <row r="141" spans="1:15" x14ac:dyDescent="0.25">
      <c r="A141" s="76" t="s">
        <v>1172</v>
      </c>
      <c r="B141" s="76" t="s">
        <v>539</v>
      </c>
      <c r="C141" s="76" t="s">
        <v>362</v>
      </c>
      <c r="D141" s="76" t="s">
        <v>520</v>
      </c>
      <c r="E141" s="77">
        <v>2</v>
      </c>
      <c r="F141" s="103">
        <v>41883</v>
      </c>
      <c r="H141" s="78">
        <v>74900</v>
      </c>
      <c r="J141" s="100">
        <f>IF($F141&lt;DATE(Assumptions!$B$7,1,1),1,IF(YEAR($F141)&gt;Assumptions!$B$7,13,MONTH($F141)))</f>
        <v>1</v>
      </c>
      <c r="K141" s="100">
        <f>IF(OR($G141="",$G141&gt;Assumptions!$B$6),Assumptions!$B$8,IF($G141&lt;DATE(Assumptions!$B$7,1,1),0,MONTH($G141)))</f>
        <v>8</v>
      </c>
      <c r="L141" s="113">
        <f t="shared" si="6"/>
        <v>8</v>
      </c>
      <c r="M141" s="82">
        <f t="shared" si="7"/>
        <v>49933.333333333336</v>
      </c>
      <c r="N141" s="100">
        <f>IF(AND($F141&lt;=Assumptions!$B$6,OR($G141="",$G141&gt;Assumptions!$B$6)),1,0)</f>
        <v>1</v>
      </c>
      <c r="O141" s="82">
        <f t="shared" si="8"/>
        <v>74900</v>
      </c>
    </row>
    <row r="142" spans="1:15" x14ac:dyDescent="0.25">
      <c r="A142" s="76" t="s">
        <v>1173</v>
      </c>
      <c r="B142" s="76" t="s">
        <v>540</v>
      </c>
      <c r="C142" s="76" t="s">
        <v>362</v>
      </c>
      <c r="D142" s="76" t="s">
        <v>526</v>
      </c>
      <c r="E142" s="77">
        <v>3</v>
      </c>
      <c r="F142" s="103">
        <v>45778</v>
      </c>
      <c r="H142" s="78">
        <v>118600</v>
      </c>
      <c r="J142" s="100">
        <f>IF($F142&lt;DATE(Assumptions!$B$7,1,1),1,IF(YEAR($F142)&gt;Assumptions!$B$7,13,MONTH($F142)))</f>
        <v>1</v>
      </c>
      <c r="K142" s="100">
        <f>IF(OR($G142="",$G142&gt;Assumptions!$B$6),Assumptions!$B$8,IF($G142&lt;DATE(Assumptions!$B$7,1,1),0,MONTH($G142)))</f>
        <v>8</v>
      </c>
      <c r="L142" s="113">
        <f t="shared" si="6"/>
        <v>8</v>
      </c>
      <c r="M142" s="82">
        <f t="shared" si="7"/>
        <v>79066.666666666672</v>
      </c>
      <c r="N142" s="100">
        <f>IF(AND($F142&lt;=Assumptions!$B$6,OR($G142="",$G142&gt;Assumptions!$B$6)),1,0)</f>
        <v>1</v>
      </c>
      <c r="O142" s="82">
        <f t="shared" si="8"/>
        <v>118600</v>
      </c>
    </row>
    <row r="143" spans="1:15" x14ac:dyDescent="0.25">
      <c r="A143" s="76" t="s">
        <v>1174</v>
      </c>
      <c r="B143" s="76" t="s">
        <v>541</v>
      </c>
      <c r="C143" s="76" t="s">
        <v>362</v>
      </c>
      <c r="D143" s="76" t="s">
        <v>520</v>
      </c>
      <c r="E143" s="77">
        <v>2</v>
      </c>
      <c r="F143" s="103">
        <v>44713</v>
      </c>
      <c r="H143" s="78">
        <v>90000</v>
      </c>
      <c r="J143" s="100">
        <f>IF($F143&lt;DATE(Assumptions!$B$7,1,1),1,IF(YEAR($F143)&gt;Assumptions!$B$7,13,MONTH($F143)))</f>
        <v>1</v>
      </c>
      <c r="K143" s="100">
        <f>IF(OR($G143="",$G143&gt;Assumptions!$B$6),Assumptions!$B$8,IF($G143&lt;DATE(Assumptions!$B$7,1,1),0,MONTH($G143)))</f>
        <v>8</v>
      </c>
      <c r="L143" s="113">
        <f t="shared" si="6"/>
        <v>8</v>
      </c>
      <c r="M143" s="82">
        <f t="shared" si="7"/>
        <v>60000</v>
      </c>
      <c r="N143" s="100">
        <f>IF(AND($F143&lt;=Assumptions!$B$6,OR($G143="",$G143&gt;Assumptions!$B$6)),1,0)</f>
        <v>1</v>
      </c>
      <c r="O143" s="82">
        <f t="shared" si="8"/>
        <v>90000</v>
      </c>
    </row>
    <row r="144" spans="1:15" x14ac:dyDescent="0.25">
      <c r="A144" s="76" t="s">
        <v>1175</v>
      </c>
      <c r="B144" s="76" t="s">
        <v>542</v>
      </c>
      <c r="C144" s="76" t="s">
        <v>362</v>
      </c>
      <c r="D144" s="76" t="s">
        <v>522</v>
      </c>
      <c r="E144" s="77">
        <v>1</v>
      </c>
      <c r="F144" s="103">
        <v>42156</v>
      </c>
      <c r="H144" s="78">
        <v>59300</v>
      </c>
      <c r="J144" s="100">
        <f>IF($F144&lt;DATE(Assumptions!$B$7,1,1),1,IF(YEAR($F144)&gt;Assumptions!$B$7,13,MONTH($F144)))</f>
        <v>1</v>
      </c>
      <c r="K144" s="100">
        <f>IF(OR($G144="",$G144&gt;Assumptions!$B$6),Assumptions!$B$8,IF($G144&lt;DATE(Assumptions!$B$7,1,1),0,MONTH($G144)))</f>
        <v>8</v>
      </c>
      <c r="L144" s="113">
        <f t="shared" si="6"/>
        <v>8</v>
      </c>
      <c r="M144" s="82">
        <f t="shared" si="7"/>
        <v>39533.333333333336</v>
      </c>
      <c r="N144" s="100">
        <f>IF(AND($F144&lt;=Assumptions!$B$6,OR($G144="",$G144&gt;Assumptions!$B$6)),1,0)</f>
        <v>1</v>
      </c>
      <c r="O144" s="82">
        <f t="shared" si="8"/>
        <v>59300</v>
      </c>
    </row>
    <row r="145" spans="1:15" x14ac:dyDescent="0.25">
      <c r="A145" s="76" t="s">
        <v>1176</v>
      </c>
      <c r="B145" s="76" t="s">
        <v>543</v>
      </c>
      <c r="C145" s="76" t="s">
        <v>362</v>
      </c>
      <c r="D145" s="76" t="s">
        <v>520</v>
      </c>
      <c r="E145" s="77">
        <v>2</v>
      </c>
      <c r="F145" s="103">
        <v>42217</v>
      </c>
      <c r="H145" s="78">
        <v>87100</v>
      </c>
      <c r="J145" s="100">
        <f>IF($F145&lt;DATE(Assumptions!$B$7,1,1),1,IF(YEAR($F145)&gt;Assumptions!$B$7,13,MONTH($F145)))</f>
        <v>1</v>
      </c>
      <c r="K145" s="100">
        <f>IF(OR($G145="",$G145&gt;Assumptions!$B$6),Assumptions!$B$8,IF($G145&lt;DATE(Assumptions!$B$7,1,1),0,MONTH($G145)))</f>
        <v>8</v>
      </c>
      <c r="L145" s="113">
        <f t="shared" si="6"/>
        <v>8</v>
      </c>
      <c r="M145" s="82">
        <f t="shared" si="7"/>
        <v>58066.666666666664</v>
      </c>
      <c r="N145" s="100">
        <f>IF(AND($F145&lt;=Assumptions!$B$6,OR($G145="",$G145&gt;Assumptions!$B$6)),1,0)</f>
        <v>1</v>
      </c>
      <c r="O145" s="82">
        <f t="shared" si="8"/>
        <v>87100</v>
      </c>
    </row>
    <row r="146" spans="1:15" x14ac:dyDescent="0.25">
      <c r="A146" s="76" t="s">
        <v>1177</v>
      </c>
      <c r="B146" s="76" t="s">
        <v>544</v>
      </c>
      <c r="C146" s="76" t="s">
        <v>362</v>
      </c>
      <c r="D146" s="76" t="s">
        <v>526</v>
      </c>
      <c r="E146" s="77">
        <v>3</v>
      </c>
      <c r="F146" s="103">
        <v>43435</v>
      </c>
      <c r="H146" s="78">
        <v>135300</v>
      </c>
      <c r="J146" s="100">
        <f>IF($F146&lt;DATE(Assumptions!$B$7,1,1),1,IF(YEAR($F146)&gt;Assumptions!$B$7,13,MONTH($F146)))</f>
        <v>1</v>
      </c>
      <c r="K146" s="100">
        <f>IF(OR($G146="",$G146&gt;Assumptions!$B$6),Assumptions!$B$8,IF($G146&lt;DATE(Assumptions!$B$7,1,1),0,MONTH($G146)))</f>
        <v>8</v>
      </c>
      <c r="L146" s="113">
        <f t="shared" si="6"/>
        <v>8</v>
      </c>
      <c r="M146" s="82">
        <f t="shared" si="7"/>
        <v>90200</v>
      </c>
      <c r="N146" s="100">
        <f>IF(AND($F146&lt;=Assumptions!$B$6,OR($G146="",$G146&gt;Assumptions!$B$6)),1,0)</f>
        <v>1</v>
      </c>
      <c r="O146" s="82">
        <f t="shared" si="8"/>
        <v>135300</v>
      </c>
    </row>
    <row r="147" spans="1:15" x14ac:dyDescent="0.25">
      <c r="A147" s="76" t="s">
        <v>1178</v>
      </c>
      <c r="B147" s="76" t="s">
        <v>545</v>
      </c>
      <c r="C147" s="76" t="s">
        <v>362</v>
      </c>
      <c r="D147" s="76" t="s">
        <v>520</v>
      </c>
      <c r="E147" s="77">
        <v>2</v>
      </c>
      <c r="F147" s="103">
        <v>42401</v>
      </c>
      <c r="H147" s="78">
        <v>88200</v>
      </c>
      <c r="J147" s="100">
        <f>IF($F147&lt;DATE(Assumptions!$B$7,1,1),1,IF(YEAR($F147)&gt;Assumptions!$B$7,13,MONTH($F147)))</f>
        <v>1</v>
      </c>
      <c r="K147" s="100">
        <f>IF(OR($G147="",$G147&gt;Assumptions!$B$6),Assumptions!$B$8,IF($G147&lt;DATE(Assumptions!$B$7,1,1),0,MONTH($G147)))</f>
        <v>8</v>
      </c>
      <c r="L147" s="113">
        <f t="shared" si="6"/>
        <v>8</v>
      </c>
      <c r="M147" s="82">
        <f t="shared" si="7"/>
        <v>58800</v>
      </c>
      <c r="N147" s="100">
        <f>IF(AND($F147&lt;=Assumptions!$B$6,OR($G147="",$G147&gt;Assumptions!$B$6)),1,0)</f>
        <v>1</v>
      </c>
      <c r="O147" s="82">
        <f t="shared" si="8"/>
        <v>88200</v>
      </c>
    </row>
    <row r="148" spans="1:15" x14ac:dyDescent="0.25">
      <c r="A148" s="76" t="s">
        <v>1179</v>
      </c>
      <c r="B148" s="76" t="s">
        <v>546</v>
      </c>
      <c r="C148" s="76" t="s">
        <v>362</v>
      </c>
      <c r="D148" s="76" t="s">
        <v>522</v>
      </c>
      <c r="E148" s="77">
        <v>1</v>
      </c>
      <c r="F148" s="103">
        <v>44013</v>
      </c>
      <c r="H148" s="78">
        <v>67500</v>
      </c>
      <c r="J148" s="100">
        <f>IF($F148&lt;DATE(Assumptions!$B$7,1,1),1,IF(YEAR($F148)&gt;Assumptions!$B$7,13,MONTH($F148)))</f>
        <v>1</v>
      </c>
      <c r="K148" s="100">
        <f>IF(OR($G148="",$G148&gt;Assumptions!$B$6),Assumptions!$B$8,IF($G148&lt;DATE(Assumptions!$B$7,1,1),0,MONTH($G148)))</f>
        <v>8</v>
      </c>
      <c r="L148" s="113">
        <f t="shared" si="6"/>
        <v>8</v>
      </c>
      <c r="M148" s="82">
        <f t="shared" si="7"/>
        <v>45000</v>
      </c>
      <c r="N148" s="100">
        <f>IF(AND($F148&lt;=Assumptions!$B$6,OR($G148="",$G148&gt;Assumptions!$B$6)),1,0)</f>
        <v>1</v>
      </c>
      <c r="O148" s="82">
        <f t="shared" si="8"/>
        <v>67500</v>
      </c>
    </row>
    <row r="149" spans="1:15" x14ac:dyDescent="0.25">
      <c r="A149" s="76" t="s">
        <v>1180</v>
      </c>
      <c r="B149" s="76" t="s">
        <v>547</v>
      </c>
      <c r="C149" s="76" t="s">
        <v>362</v>
      </c>
      <c r="D149" s="76" t="s">
        <v>520</v>
      </c>
      <c r="E149" s="77">
        <v>2</v>
      </c>
      <c r="F149" s="103">
        <v>46054</v>
      </c>
      <c r="H149" s="78">
        <v>76000</v>
      </c>
      <c r="J149" s="100">
        <f>IF($F149&lt;DATE(Assumptions!$B$7,1,1),1,IF(YEAR($F149)&gt;Assumptions!$B$7,13,MONTH($F149)))</f>
        <v>2</v>
      </c>
      <c r="K149" s="100">
        <f>IF(OR($G149="",$G149&gt;Assumptions!$B$6),Assumptions!$B$8,IF($G149&lt;DATE(Assumptions!$B$7,1,1),0,MONTH($G149)))</f>
        <v>8</v>
      </c>
      <c r="L149" s="113">
        <f t="shared" si="6"/>
        <v>7</v>
      </c>
      <c r="M149" s="82">
        <f t="shared" si="7"/>
        <v>44333.333333333336</v>
      </c>
      <c r="N149" s="100">
        <f>IF(AND($F149&lt;=Assumptions!$B$6,OR($G149="",$G149&gt;Assumptions!$B$6)),1,0)</f>
        <v>1</v>
      </c>
      <c r="O149" s="82">
        <f t="shared" si="8"/>
        <v>76000</v>
      </c>
    </row>
    <row r="150" spans="1:15" x14ac:dyDescent="0.25">
      <c r="A150" s="76" t="s">
        <v>1181</v>
      </c>
      <c r="B150" s="76" t="s">
        <v>548</v>
      </c>
      <c r="C150" s="76" t="s">
        <v>362</v>
      </c>
      <c r="D150" s="76" t="s">
        <v>522</v>
      </c>
      <c r="E150" s="77">
        <v>1</v>
      </c>
      <c r="F150" s="103">
        <v>46204</v>
      </c>
      <c r="H150" s="78">
        <v>68500</v>
      </c>
      <c r="J150" s="100">
        <f>IF($F150&lt;DATE(Assumptions!$B$7,1,1),1,IF(YEAR($F150)&gt;Assumptions!$B$7,13,MONTH($F150)))</f>
        <v>7</v>
      </c>
      <c r="K150" s="100">
        <f>IF(OR($G150="",$G150&gt;Assumptions!$B$6),Assumptions!$B$8,IF($G150&lt;DATE(Assumptions!$B$7,1,1),0,MONTH($G150)))</f>
        <v>8</v>
      </c>
      <c r="L150" s="113">
        <f t="shared" si="6"/>
        <v>2</v>
      </c>
      <c r="M150" s="82">
        <f t="shared" si="7"/>
        <v>11416.666666666666</v>
      </c>
      <c r="N150" s="100">
        <f>IF(AND($F150&lt;=Assumptions!$B$6,OR($G150="",$G150&gt;Assumptions!$B$6)),1,0)</f>
        <v>1</v>
      </c>
      <c r="O150" s="82">
        <f t="shared" si="8"/>
        <v>68500</v>
      </c>
    </row>
    <row r="151" spans="1:15" x14ac:dyDescent="0.25">
      <c r="A151" s="76" t="s">
        <v>1182</v>
      </c>
      <c r="B151" s="76" t="s">
        <v>549</v>
      </c>
      <c r="C151" s="76" t="s">
        <v>362</v>
      </c>
      <c r="D151" s="76" t="s">
        <v>522</v>
      </c>
      <c r="E151" s="77">
        <v>1</v>
      </c>
      <c r="F151" s="103">
        <v>46204</v>
      </c>
      <c r="H151" s="78">
        <v>63500</v>
      </c>
      <c r="J151" s="100">
        <f>IF($F151&lt;DATE(Assumptions!$B$7,1,1),1,IF(YEAR($F151)&gt;Assumptions!$B$7,13,MONTH($F151)))</f>
        <v>7</v>
      </c>
      <c r="K151" s="100">
        <f>IF(OR($G151="",$G151&gt;Assumptions!$B$6),Assumptions!$B$8,IF($G151&lt;DATE(Assumptions!$B$7,1,1),0,MONTH($G151)))</f>
        <v>8</v>
      </c>
      <c r="L151" s="113">
        <f t="shared" si="6"/>
        <v>2</v>
      </c>
      <c r="M151" s="82">
        <f t="shared" si="7"/>
        <v>10583.333333333334</v>
      </c>
      <c r="N151" s="100">
        <f>IF(AND($F151&lt;=Assumptions!$B$6,OR($G151="",$G151&gt;Assumptions!$B$6)),1,0)</f>
        <v>1</v>
      </c>
      <c r="O151" s="82">
        <f t="shared" si="8"/>
        <v>63500</v>
      </c>
    </row>
    <row r="152" spans="1:15" x14ac:dyDescent="0.25">
      <c r="A152" s="76" t="s">
        <v>1183</v>
      </c>
      <c r="B152" s="76" t="s">
        <v>550</v>
      </c>
      <c r="C152" s="76" t="s">
        <v>360</v>
      </c>
      <c r="D152" s="76" t="s">
        <v>551</v>
      </c>
      <c r="E152" s="77">
        <v>3</v>
      </c>
      <c r="F152" s="103">
        <v>44562</v>
      </c>
      <c r="H152" s="78">
        <v>135400</v>
      </c>
      <c r="J152" s="100">
        <f>IF($F152&lt;DATE(Assumptions!$B$7,1,1),1,IF(YEAR($F152)&gt;Assumptions!$B$7,13,MONTH($F152)))</f>
        <v>1</v>
      </c>
      <c r="K152" s="100">
        <f>IF(OR($G152="",$G152&gt;Assumptions!$B$6),Assumptions!$B$8,IF($G152&lt;DATE(Assumptions!$B$7,1,1),0,MONTH($G152)))</f>
        <v>8</v>
      </c>
      <c r="L152" s="113">
        <f t="shared" si="6"/>
        <v>8</v>
      </c>
      <c r="M152" s="82">
        <f t="shared" si="7"/>
        <v>90266.666666666672</v>
      </c>
      <c r="N152" s="100">
        <f>IF(AND($F152&lt;=Assumptions!$B$6,OR($G152="",$G152&gt;Assumptions!$B$6)),1,0)</f>
        <v>1</v>
      </c>
      <c r="O152" s="82">
        <f t="shared" si="8"/>
        <v>135400</v>
      </c>
    </row>
    <row r="153" spans="1:15" x14ac:dyDescent="0.25">
      <c r="A153" s="76" t="s">
        <v>1184</v>
      </c>
      <c r="B153" s="76" t="s">
        <v>552</v>
      </c>
      <c r="C153" s="76" t="s">
        <v>360</v>
      </c>
      <c r="D153" s="76" t="s">
        <v>553</v>
      </c>
      <c r="E153" s="77">
        <v>2</v>
      </c>
      <c r="F153" s="103">
        <v>43466</v>
      </c>
      <c r="H153" s="78">
        <v>97800</v>
      </c>
      <c r="J153" s="100">
        <f>IF($F153&lt;DATE(Assumptions!$B$7,1,1),1,IF(YEAR($F153)&gt;Assumptions!$B$7,13,MONTH($F153)))</f>
        <v>1</v>
      </c>
      <c r="K153" s="100">
        <f>IF(OR($G153="",$G153&gt;Assumptions!$B$6),Assumptions!$B$8,IF($G153&lt;DATE(Assumptions!$B$7,1,1),0,MONTH($G153)))</f>
        <v>8</v>
      </c>
      <c r="L153" s="113">
        <f t="shared" si="6"/>
        <v>8</v>
      </c>
      <c r="M153" s="82">
        <f t="shared" si="7"/>
        <v>65200</v>
      </c>
      <c r="N153" s="100">
        <f>IF(AND($F153&lt;=Assumptions!$B$6,OR($G153="",$G153&gt;Assumptions!$B$6)),1,0)</f>
        <v>1</v>
      </c>
      <c r="O153" s="82">
        <f t="shared" si="8"/>
        <v>97800</v>
      </c>
    </row>
    <row r="154" spans="1:15" x14ac:dyDescent="0.25">
      <c r="A154" s="76" t="s">
        <v>1185</v>
      </c>
      <c r="B154" s="76" t="s">
        <v>554</v>
      </c>
      <c r="C154" s="76" t="s">
        <v>360</v>
      </c>
      <c r="D154" s="76" t="s">
        <v>553</v>
      </c>
      <c r="E154" s="77">
        <v>2</v>
      </c>
      <c r="F154" s="103">
        <v>41760</v>
      </c>
      <c r="H154" s="78">
        <v>100800</v>
      </c>
      <c r="J154" s="100">
        <f>IF($F154&lt;DATE(Assumptions!$B$7,1,1),1,IF(YEAR($F154)&gt;Assumptions!$B$7,13,MONTH($F154)))</f>
        <v>1</v>
      </c>
      <c r="K154" s="100">
        <f>IF(OR($G154="",$G154&gt;Assumptions!$B$6),Assumptions!$B$8,IF($G154&lt;DATE(Assumptions!$B$7,1,1),0,MONTH($G154)))</f>
        <v>8</v>
      </c>
      <c r="L154" s="113">
        <f t="shared" si="6"/>
        <v>8</v>
      </c>
      <c r="M154" s="82">
        <f t="shared" si="7"/>
        <v>67200</v>
      </c>
      <c r="N154" s="100">
        <f>IF(AND($F154&lt;=Assumptions!$B$6,OR($G154="",$G154&gt;Assumptions!$B$6)),1,0)</f>
        <v>1</v>
      </c>
      <c r="O154" s="82">
        <f t="shared" si="8"/>
        <v>100800</v>
      </c>
    </row>
    <row r="155" spans="1:15" x14ac:dyDescent="0.25">
      <c r="A155" s="76" t="s">
        <v>1186</v>
      </c>
      <c r="B155" s="76" t="s">
        <v>555</v>
      </c>
      <c r="C155" s="76" t="s">
        <v>360</v>
      </c>
      <c r="D155" s="76" t="s">
        <v>551</v>
      </c>
      <c r="E155" s="77">
        <v>3</v>
      </c>
      <c r="F155" s="103">
        <v>45566</v>
      </c>
      <c r="H155" s="78">
        <v>140300</v>
      </c>
      <c r="J155" s="100">
        <f>IF($F155&lt;DATE(Assumptions!$B$7,1,1),1,IF(YEAR($F155)&gt;Assumptions!$B$7,13,MONTH($F155)))</f>
        <v>1</v>
      </c>
      <c r="K155" s="100">
        <f>IF(OR($G155="",$G155&gt;Assumptions!$B$6),Assumptions!$B$8,IF($G155&lt;DATE(Assumptions!$B$7,1,1),0,MONTH($G155)))</f>
        <v>8</v>
      </c>
      <c r="L155" s="113">
        <f t="shared" si="6"/>
        <v>8</v>
      </c>
      <c r="M155" s="82">
        <f t="shared" si="7"/>
        <v>93533.333333333328</v>
      </c>
      <c r="N155" s="100">
        <f>IF(AND($F155&lt;=Assumptions!$B$6,OR($G155="",$G155&gt;Assumptions!$B$6)),1,0)</f>
        <v>1</v>
      </c>
      <c r="O155" s="82">
        <f t="shared" si="8"/>
        <v>140300</v>
      </c>
    </row>
    <row r="156" spans="1:15" x14ac:dyDescent="0.25">
      <c r="A156" s="76" t="s">
        <v>1187</v>
      </c>
      <c r="B156" s="76" t="s">
        <v>556</v>
      </c>
      <c r="C156" s="76" t="s">
        <v>360</v>
      </c>
      <c r="D156" s="76" t="s">
        <v>553</v>
      </c>
      <c r="E156" s="77">
        <v>2</v>
      </c>
      <c r="F156" s="103">
        <v>42036</v>
      </c>
      <c r="H156" s="78">
        <v>101500</v>
      </c>
      <c r="J156" s="100">
        <f>IF($F156&lt;DATE(Assumptions!$B$7,1,1),1,IF(YEAR($F156)&gt;Assumptions!$B$7,13,MONTH($F156)))</f>
        <v>1</v>
      </c>
      <c r="K156" s="100">
        <f>IF(OR($G156="",$G156&gt;Assumptions!$B$6),Assumptions!$B$8,IF($G156&lt;DATE(Assumptions!$B$7,1,1),0,MONTH($G156)))</f>
        <v>8</v>
      </c>
      <c r="L156" s="113">
        <f t="shared" si="6"/>
        <v>8</v>
      </c>
      <c r="M156" s="82">
        <f t="shared" si="7"/>
        <v>67666.666666666672</v>
      </c>
      <c r="N156" s="100">
        <f>IF(AND($F156&lt;=Assumptions!$B$6,OR($G156="",$G156&gt;Assumptions!$B$6)),1,0)</f>
        <v>1</v>
      </c>
      <c r="O156" s="82">
        <f t="shared" si="8"/>
        <v>101500</v>
      </c>
    </row>
    <row r="157" spans="1:15" x14ac:dyDescent="0.25">
      <c r="A157" s="76" t="s">
        <v>1188</v>
      </c>
      <c r="B157" s="76" t="s">
        <v>557</v>
      </c>
      <c r="C157" s="76" t="s">
        <v>360</v>
      </c>
      <c r="D157" s="76" t="s">
        <v>551</v>
      </c>
      <c r="E157" s="77">
        <v>3</v>
      </c>
      <c r="F157" s="103">
        <v>43252</v>
      </c>
      <c r="H157" s="78">
        <v>114700</v>
      </c>
      <c r="J157" s="100">
        <f>IF($F157&lt;DATE(Assumptions!$B$7,1,1),1,IF(YEAR($F157)&gt;Assumptions!$B$7,13,MONTH($F157)))</f>
        <v>1</v>
      </c>
      <c r="K157" s="100">
        <f>IF(OR($G157="",$G157&gt;Assumptions!$B$6),Assumptions!$B$8,IF($G157&lt;DATE(Assumptions!$B$7,1,1),0,MONTH($G157)))</f>
        <v>8</v>
      </c>
      <c r="L157" s="113">
        <f t="shared" si="6"/>
        <v>8</v>
      </c>
      <c r="M157" s="82">
        <f t="shared" si="7"/>
        <v>76466.666666666672</v>
      </c>
      <c r="N157" s="100">
        <f>IF(AND($F157&lt;=Assumptions!$B$6,OR($G157="",$G157&gt;Assumptions!$B$6)),1,0)</f>
        <v>1</v>
      </c>
      <c r="O157" s="82">
        <f t="shared" si="8"/>
        <v>114700</v>
      </c>
    </row>
    <row r="158" spans="1:15" x14ac:dyDescent="0.25">
      <c r="A158" s="76" t="s">
        <v>1189</v>
      </c>
      <c r="B158" s="76" t="s">
        <v>558</v>
      </c>
      <c r="C158" s="76" t="s">
        <v>360</v>
      </c>
      <c r="D158" s="76" t="s">
        <v>551</v>
      </c>
      <c r="E158" s="77">
        <v>3</v>
      </c>
      <c r="F158" s="103">
        <v>42278</v>
      </c>
      <c r="H158" s="78">
        <v>120800</v>
      </c>
      <c r="J158" s="100">
        <f>IF($F158&lt;DATE(Assumptions!$B$7,1,1),1,IF(YEAR($F158)&gt;Assumptions!$B$7,13,MONTH($F158)))</f>
        <v>1</v>
      </c>
      <c r="K158" s="100">
        <f>IF(OR($G158="",$G158&gt;Assumptions!$B$6),Assumptions!$B$8,IF($G158&lt;DATE(Assumptions!$B$7,1,1),0,MONTH($G158)))</f>
        <v>8</v>
      </c>
      <c r="L158" s="113">
        <f t="shared" si="6"/>
        <v>8</v>
      </c>
      <c r="M158" s="82">
        <f t="shared" si="7"/>
        <v>80533.333333333328</v>
      </c>
      <c r="N158" s="100">
        <f>IF(AND($F158&lt;=Assumptions!$B$6,OR($G158="",$G158&gt;Assumptions!$B$6)),1,0)</f>
        <v>1</v>
      </c>
      <c r="O158" s="82">
        <f t="shared" si="8"/>
        <v>120800</v>
      </c>
    </row>
    <row r="159" spans="1:15" x14ac:dyDescent="0.25">
      <c r="A159" s="76" t="s">
        <v>1190</v>
      </c>
      <c r="B159" s="76" t="s">
        <v>559</v>
      </c>
      <c r="C159" s="76" t="s">
        <v>360</v>
      </c>
      <c r="D159" s="76" t="s">
        <v>551</v>
      </c>
      <c r="E159" s="77">
        <v>3</v>
      </c>
      <c r="F159" s="103">
        <v>43070</v>
      </c>
      <c r="H159" s="78">
        <v>111500</v>
      </c>
      <c r="J159" s="100">
        <f>IF($F159&lt;DATE(Assumptions!$B$7,1,1),1,IF(YEAR($F159)&gt;Assumptions!$B$7,13,MONTH($F159)))</f>
        <v>1</v>
      </c>
      <c r="K159" s="100">
        <f>IF(OR($G159="",$G159&gt;Assumptions!$B$6),Assumptions!$B$8,IF($G159&lt;DATE(Assumptions!$B$7,1,1),0,MONTH($G159)))</f>
        <v>8</v>
      </c>
      <c r="L159" s="113">
        <f t="shared" si="6"/>
        <v>8</v>
      </c>
      <c r="M159" s="82">
        <f t="shared" si="7"/>
        <v>74333.333333333328</v>
      </c>
      <c r="N159" s="100">
        <f>IF(AND($F159&lt;=Assumptions!$B$6,OR($G159="",$G159&gt;Assumptions!$B$6)),1,0)</f>
        <v>1</v>
      </c>
      <c r="O159" s="82">
        <f t="shared" si="8"/>
        <v>111500</v>
      </c>
    </row>
    <row r="160" spans="1:15" x14ac:dyDescent="0.25">
      <c r="A160" s="76" t="s">
        <v>1191</v>
      </c>
      <c r="B160" s="76" t="s">
        <v>560</v>
      </c>
      <c r="C160" s="76" t="s">
        <v>360</v>
      </c>
      <c r="D160" s="76" t="s">
        <v>553</v>
      </c>
      <c r="E160" s="77">
        <v>2</v>
      </c>
      <c r="F160" s="103">
        <v>42461</v>
      </c>
      <c r="H160" s="78">
        <v>88400</v>
      </c>
      <c r="J160" s="100">
        <f>IF($F160&lt;DATE(Assumptions!$B$7,1,1),1,IF(YEAR($F160)&gt;Assumptions!$B$7,13,MONTH($F160)))</f>
        <v>1</v>
      </c>
      <c r="K160" s="100">
        <f>IF(OR($G160="",$G160&gt;Assumptions!$B$6),Assumptions!$B$8,IF($G160&lt;DATE(Assumptions!$B$7,1,1),0,MONTH($G160)))</f>
        <v>8</v>
      </c>
      <c r="L160" s="113">
        <f t="shared" si="6"/>
        <v>8</v>
      </c>
      <c r="M160" s="82">
        <f t="shared" si="7"/>
        <v>58933.333333333336</v>
      </c>
      <c r="N160" s="100">
        <f>IF(AND($F160&lt;=Assumptions!$B$6,OR($G160="",$G160&gt;Assumptions!$B$6)),1,0)</f>
        <v>1</v>
      </c>
      <c r="O160" s="82">
        <f t="shared" si="8"/>
        <v>88400</v>
      </c>
    </row>
    <row r="161" spans="1:15" x14ac:dyDescent="0.25">
      <c r="A161" s="76" t="s">
        <v>1192</v>
      </c>
      <c r="B161" s="76" t="s">
        <v>561</v>
      </c>
      <c r="C161" s="76" t="s">
        <v>360</v>
      </c>
      <c r="D161" s="76" t="s">
        <v>553</v>
      </c>
      <c r="E161" s="77">
        <v>2</v>
      </c>
      <c r="F161" s="103">
        <v>43800</v>
      </c>
      <c r="H161" s="78">
        <v>95100</v>
      </c>
      <c r="J161" s="100">
        <f>IF($F161&lt;DATE(Assumptions!$B$7,1,1),1,IF(YEAR($F161)&gt;Assumptions!$B$7,13,MONTH($F161)))</f>
        <v>1</v>
      </c>
      <c r="K161" s="100">
        <f>IF(OR($G161="",$G161&gt;Assumptions!$B$6),Assumptions!$B$8,IF($G161&lt;DATE(Assumptions!$B$7,1,1),0,MONTH($G161)))</f>
        <v>8</v>
      </c>
      <c r="L161" s="113">
        <f t="shared" si="6"/>
        <v>8</v>
      </c>
      <c r="M161" s="82">
        <f t="shared" si="7"/>
        <v>63400</v>
      </c>
      <c r="N161" s="100">
        <f>IF(AND($F161&lt;=Assumptions!$B$6,OR($G161="",$G161&gt;Assumptions!$B$6)),1,0)</f>
        <v>1</v>
      </c>
      <c r="O161" s="82">
        <f t="shared" si="8"/>
        <v>95100</v>
      </c>
    </row>
    <row r="162" spans="1:15" x14ac:dyDescent="0.25">
      <c r="A162" s="76" t="s">
        <v>1193</v>
      </c>
      <c r="B162" s="76" t="s">
        <v>562</v>
      </c>
      <c r="C162" s="76" t="s">
        <v>360</v>
      </c>
      <c r="D162" s="76" t="s">
        <v>553</v>
      </c>
      <c r="E162" s="77">
        <v>2</v>
      </c>
      <c r="F162" s="103">
        <v>43586</v>
      </c>
      <c r="H162" s="78">
        <v>92400</v>
      </c>
      <c r="J162" s="100">
        <f>IF($F162&lt;DATE(Assumptions!$B$7,1,1),1,IF(YEAR($F162)&gt;Assumptions!$B$7,13,MONTH($F162)))</f>
        <v>1</v>
      </c>
      <c r="K162" s="100">
        <f>IF(OR($G162="",$G162&gt;Assumptions!$B$6),Assumptions!$B$8,IF($G162&lt;DATE(Assumptions!$B$7,1,1),0,MONTH($G162)))</f>
        <v>8</v>
      </c>
      <c r="L162" s="113">
        <f t="shared" si="6"/>
        <v>8</v>
      </c>
      <c r="M162" s="82">
        <f t="shared" si="7"/>
        <v>61600</v>
      </c>
      <c r="N162" s="100">
        <f>IF(AND($F162&lt;=Assumptions!$B$6,OR($G162="",$G162&gt;Assumptions!$B$6)),1,0)</f>
        <v>1</v>
      </c>
      <c r="O162" s="82">
        <f t="shared" si="8"/>
        <v>92400</v>
      </c>
    </row>
    <row r="163" spans="1:15" x14ac:dyDescent="0.25">
      <c r="A163" s="76" t="s">
        <v>1194</v>
      </c>
      <c r="B163" s="76" t="s">
        <v>563</v>
      </c>
      <c r="C163" s="76" t="s">
        <v>360</v>
      </c>
      <c r="D163" s="76" t="s">
        <v>553</v>
      </c>
      <c r="E163" s="77">
        <v>2</v>
      </c>
      <c r="F163" s="103">
        <v>44896</v>
      </c>
      <c r="H163" s="78">
        <v>93300</v>
      </c>
      <c r="J163" s="100">
        <f>IF($F163&lt;DATE(Assumptions!$B$7,1,1),1,IF(YEAR($F163)&gt;Assumptions!$B$7,13,MONTH($F163)))</f>
        <v>1</v>
      </c>
      <c r="K163" s="100">
        <f>IF(OR($G163="",$G163&gt;Assumptions!$B$6),Assumptions!$B$8,IF($G163&lt;DATE(Assumptions!$B$7,1,1),0,MONTH($G163)))</f>
        <v>8</v>
      </c>
      <c r="L163" s="113">
        <f t="shared" si="6"/>
        <v>8</v>
      </c>
      <c r="M163" s="82">
        <f t="shared" si="7"/>
        <v>62200</v>
      </c>
      <c r="N163" s="100">
        <f>IF(AND($F163&lt;=Assumptions!$B$6,OR($G163="",$G163&gt;Assumptions!$B$6)),1,0)</f>
        <v>1</v>
      </c>
      <c r="O163" s="82">
        <f t="shared" si="8"/>
        <v>93300</v>
      </c>
    </row>
    <row r="164" spans="1:15" x14ac:dyDescent="0.25">
      <c r="A164" s="76" t="s">
        <v>1195</v>
      </c>
      <c r="B164" s="76" t="s">
        <v>564</v>
      </c>
      <c r="C164" s="76" t="s">
        <v>360</v>
      </c>
      <c r="D164" s="76" t="s">
        <v>553</v>
      </c>
      <c r="E164" s="77">
        <v>2</v>
      </c>
      <c r="F164" s="103">
        <v>44378</v>
      </c>
      <c r="H164" s="78">
        <v>92300</v>
      </c>
      <c r="J164" s="100">
        <f>IF($F164&lt;DATE(Assumptions!$B$7,1,1),1,IF(YEAR($F164)&gt;Assumptions!$B$7,13,MONTH($F164)))</f>
        <v>1</v>
      </c>
      <c r="K164" s="100">
        <f>IF(OR($G164="",$G164&gt;Assumptions!$B$6),Assumptions!$B$8,IF($G164&lt;DATE(Assumptions!$B$7,1,1),0,MONTH($G164)))</f>
        <v>8</v>
      </c>
      <c r="L164" s="113">
        <f t="shared" si="6"/>
        <v>8</v>
      </c>
      <c r="M164" s="82">
        <f t="shared" si="7"/>
        <v>61533.333333333336</v>
      </c>
      <c r="N164" s="100">
        <f>IF(AND($F164&lt;=Assumptions!$B$6,OR($G164="",$G164&gt;Assumptions!$B$6)),1,0)</f>
        <v>1</v>
      </c>
      <c r="O164" s="82">
        <f t="shared" si="8"/>
        <v>92300</v>
      </c>
    </row>
    <row r="165" spans="1:15" x14ac:dyDescent="0.25">
      <c r="A165" s="76" t="s">
        <v>1196</v>
      </c>
      <c r="B165" s="76" t="s">
        <v>565</v>
      </c>
      <c r="C165" s="76" t="s">
        <v>360</v>
      </c>
      <c r="D165" s="76" t="s">
        <v>566</v>
      </c>
      <c r="E165" s="77">
        <v>4</v>
      </c>
      <c r="F165" s="103">
        <v>45717</v>
      </c>
      <c r="H165" s="78">
        <v>188500</v>
      </c>
      <c r="J165" s="100">
        <f>IF($F165&lt;DATE(Assumptions!$B$7,1,1),1,IF(YEAR($F165)&gt;Assumptions!$B$7,13,MONTH($F165)))</f>
        <v>1</v>
      </c>
      <c r="K165" s="100">
        <f>IF(OR($G165="",$G165&gt;Assumptions!$B$6),Assumptions!$B$8,IF($G165&lt;DATE(Assumptions!$B$7,1,1),0,MONTH($G165)))</f>
        <v>8</v>
      </c>
      <c r="L165" s="113">
        <f t="shared" si="6"/>
        <v>8</v>
      </c>
      <c r="M165" s="82">
        <f t="shared" si="7"/>
        <v>125666.66666666667</v>
      </c>
      <c r="N165" s="100">
        <f>IF(AND($F165&lt;=Assumptions!$B$6,OR($G165="",$G165&gt;Assumptions!$B$6)),1,0)</f>
        <v>1</v>
      </c>
      <c r="O165" s="82">
        <f t="shared" si="8"/>
        <v>188500</v>
      </c>
    </row>
    <row r="166" spans="1:15" x14ac:dyDescent="0.25">
      <c r="A166" s="76" t="s">
        <v>1197</v>
      </c>
      <c r="B166" s="76" t="s">
        <v>567</v>
      </c>
      <c r="C166" s="76" t="s">
        <v>360</v>
      </c>
      <c r="D166" s="76" t="s">
        <v>551</v>
      </c>
      <c r="E166" s="77">
        <v>3</v>
      </c>
      <c r="F166" s="103">
        <v>45047</v>
      </c>
      <c r="H166" s="78">
        <v>119400</v>
      </c>
      <c r="J166" s="100">
        <f>IF($F166&lt;DATE(Assumptions!$B$7,1,1),1,IF(YEAR($F166)&gt;Assumptions!$B$7,13,MONTH($F166)))</f>
        <v>1</v>
      </c>
      <c r="K166" s="100">
        <f>IF(OR($G166="",$G166&gt;Assumptions!$B$6),Assumptions!$B$8,IF($G166&lt;DATE(Assumptions!$B$7,1,1),0,MONTH($G166)))</f>
        <v>8</v>
      </c>
      <c r="L166" s="113">
        <f t="shared" si="6"/>
        <v>8</v>
      </c>
      <c r="M166" s="82">
        <f t="shared" si="7"/>
        <v>79600</v>
      </c>
      <c r="N166" s="100">
        <f>IF(AND($F166&lt;=Assumptions!$B$6,OR($G166="",$G166&gt;Assumptions!$B$6)),1,0)</f>
        <v>1</v>
      </c>
      <c r="O166" s="82">
        <f t="shared" si="8"/>
        <v>119400</v>
      </c>
    </row>
    <row r="167" spans="1:15" x14ac:dyDescent="0.25">
      <c r="A167" s="76" t="s">
        <v>1198</v>
      </c>
      <c r="B167" s="76" t="s">
        <v>568</v>
      </c>
      <c r="C167" s="76" t="s">
        <v>360</v>
      </c>
      <c r="D167" s="76" t="s">
        <v>553</v>
      </c>
      <c r="E167" s="77">
        <v>2</v>
      </c>
      <c r="F167" s="103">
        <v>41944</v>
      </c>
      <c r="H167" s="78">
        <v>89800</v>
      </c>
      <c r="J167" s="100">
        <f>IF($F167&lt;DATE(Assumptions!$B$7,1,1),1,IF(YEAR($F167)&gt;Assumptions!$B$7,13,MONTH($F167)))</f>
        <v>1</v>
      </c>
      <c r="K167" s="100">
        <f>IF(OR($G167="",$G167&gt;Assumptions!$B$6),Assumptions!$B$8,IF($G167&lt;DATE(Assumptions!$B$7,1,1),0,MONTH($G167)))</f>
        <v>8</v>
      </c>
      <c r="L167" s="113">
        <f t="shared" si="6"/>
        <v>8</v>
      </c>
      <c r="M167" s="82">
        <f t="shared" si="7"/>
        <v>59866.666666666664</v>
      </c>
      <c r="N167" s="100">
        <f>IF(AND($F167&lt;=Assumptions!$B$6,OR($G167="",$G167&gt;Assumptions!$B$6)),1,0)</f>
        <v>1</v>
      </c>
      <c r="O167" s="82">
        <f t="shared" si="8"/>
        <v>89800</v>
      </c>
    </row>
    <row r="168" spans="1:15" x14ac:dyDescent="0.25">
      <c r="A168" s="76" t="s">
        <v>1199</v>
      </c>
      <c r="B168" s="76" t="s">
        <v>569</v>
      </c>
      <c r="C168" s="76" t="s">
        <v>360</v>
      </c>
      <c r="D168" s="76" t="s">
        <v>553</v>
      </c>
      <c r="E168" s="77">
        <v>2</v>
      </c>
      <c r="F168" s="103">
        <v>45383</v>
      </c>
      <c r="H168" s="78">
        <v>86800</v>
      </c>
      <c r="J168" s="100">
        <f>IF($F168&lt;DATE(Assumptions!$B$7,1,1),1,IF(YEAR($F168)&gt;Assumptions!$B$7,13,MONTH($F168)))</f>
        <v>1</v>
      </c>
      <c r="K168" s="100">
        <f>IF(OR($G168="",$G168&gt;Assumptions!$B$6),Assumptions!$B$8,IF($G168&lt;DATE(Assumptions!$B$7,1,1),0,MONTH($G168)))</f>
        <v>8</v>
      </c>
      <c r="L168" s="113">
        <f t="shared" si="6"/>
        <v>8</v>
      </c>
      <c r="M168" s="82">
        <f t="shared" si="7"/>
        <v>57866.666666666664</v>
      </c>
      <c r="N168" s="100">
        <f>IF(AND($F168&lt;=Assumptions!$B$6,OR($G168="",$G168&gt;Assumptions!$B$6)),1,0)</f>
        <v>1</v>
      </c>
      <c r="O168" s="82">
        <f t="shared" si="8"/>
        <v>86800</v>
      </c>
    </row>
    <row r="169" spans="1:15" x14ac:dyDescent="0.25">
      <c r="A169" s="76" t="s">
        <v>1200</v>
      </c>
      <c r="B169" s="76" t="s">
        <v>570</v>
      </c>
      <c r="C169" s="76" t="s">
        <v>360</v>
      </c>
      <c r="D169" s="76" t="s">
        <v>566</v>
      </c>
      <c r="E169" s="77">
        <v>4</v>
      </c>
      <c r="F169" s="103">
        <v>42278</v>
      </c>
      <c r="H169" s="78">
        <v>155600</v>
      </c>
      <c r="J169" s="100">
        <f>IF($F169&lt;DATE(Assumptions!$B$7,1,1),1,IF(YEAR($F169)&gt;Assumptions!$B$7,13,MONTH($F169)))</f>
        <v>1</v>
      </c>
      <c r="K169" s="100">
        <f>IF(OR($G169="",$G169&gt;Assumptions!$B$6),Assumptions!$B$8,IF($G169&lt;DATE(Assumptions!$B$7,1,1),0,MONTH($G169)))</f>
        <v>8</v>
      </c>
      <c r="L169" s="113">
        <f t="shared" si="6"/>
        <v>8</v>
      </c>
      <c r="M169" s="82">
        <f t="shared" si="7"/>
        <v>103733.33333333333</v>
      </c>
      <c r="N169" s="100">
        <f>IF(AND($F169&lt;=Assumptions!$B$6,OR($G169="",$G169&gt;Assumptions!$B$6)),1,0)</f>
        <v>1</v>
      </c>
      <c r="O169" s="82">
        <f t="shared" si="8"/>
        <v>155600</v>
      </c>
    </row>
    <row r="170" spans="1:15" x14ac:dyDescent="0.25">
      <c r="A170" s="76" t="s">
        <v>1201</v>
      </c>
      <c r="B170" s="76" t="s">
        <v>571</v>
      </c>
      <c r="C170" s="76" t="s">
        <v>360</v>
      </c>
      <c r="D170" s="76" t="s">
        <v>553</v>
      </c>
      <c r="E170" s="77">
        <v>2</v>
      </c>
      <c r="F170" s="103">
        <v>45078</v>
      </c>
      <c r="H170" s="78">
        <v>87600</v>
      </c>
      <c r="J170" s="100">
        <f>IF($F170&lt;DATE(Assumptions!$B$7,1,1),1,IF(YEAR($F170)&gt;Assumptions!$B$7,13,MONTH($F170)))</f>
        <v>1</v>
      </c>
      <c r="K170" s="100">
        <f>IF(OR($G170="",$G170&gt;Assumptions!$B$6),Assumptions!$B$8,IF($G170&lt;DATE(Assumptions!$B$7,1,1),0,MONTH($G170)))</f>
        <v>8</v>
      </c>
      <c r="L170" s="113">
        <f t="shared" si="6"/>
        <v>8</v>
      </c>
      <c r="M170" s="82">
        <f t="shared" si="7"/>
        <v>58400</v>
      </c>
      <c r="N170" s="100">
        <f>IF(AND($F170&lt;=Assumptions!$B$6,OR($G170="",$G170&gt;Assumptions!$B$6)),1,0)</f>
        <v>1</v>
      </c>
      <c r="O170" s="82">
        <f t="shared" si="8"/>
        <v>87600</v>
      </c>
    </row>
    <row r="171" spans="1:15" x14ac:dyDescent="0.25">
      <c r="A171" s="76" t="s">
        <v>1202</v>
      </c>
      <c r="B171" s="76" t="s">
        <v>572</v>
      </c>
      <c r="C171" s="76" t="s">
        <v>360</v>
      </c>
      <c r="D171" s="76" t="s">
        <v>551</v>
      </c>
      <c r="E171" s="77">
        <v>3</v>
      </c>
      <c r="F171" s="103">
        <v>41791</v>
      </c>
      <c r="H171" s="78">
        <v>122200</v>
      </c>
      <c r="J171" s="100">
        <f>IF($F171&lt;DATE(Assumptions!$B$7,1,1),1,IF(YEAR($F171)&gt;Assumptions!$B$7,13,MONTH($F171)))</f>
        <v>1</v>
      </c>
      <c r="K171" s="100">
        <f>IF(OR($G171="",$G171&gt;Assumptions!$B$6),Assumptions!$B$8,IF($G171&lt;DATE(Assumptions!$B$7,1,1),0,MONTH($G171)))</f>
        <v>8</v>
      </c>
      <c r="L171" s="113">
        <f t="shared" si="6"/>
        <v>8</v>
      </c>
      <c r="M171" s="82">
        <f t="shared" si="7"/>
        <v>81466.666666666672</v>
      </c>
      <c r="N171" s="100">
        <f>IF(AND($F171&lt;=Assumptions!$B$6,OR($G171="",$G171&gt;Assumptions!$B$6)),1,0)</f>
        <v>1</v>
      </c>
      <c r="O171" s="82">
        <f t="shared" si="8"/>
        <v>122200</v>
      </c>
    </row>
    <row r="172" spans="1:15" x14ac:dyDescent="0.25">
      <c r="A172" s="76" t="s">
        <v>1203</v>
      </c>
      <c r="B172" s="76" t="s">
        <v>573</v>
      </c>
      <c r="C172" s="76" t="s">
        <v>360</v>
      </c>
      <c r="D172" s="76" t="s">
        <v>553</v>
      </c>
      <c r="E172" s="77">
        <v>2</v>
      </c>
      <c r="F172" s="103">
        <v>45139</v>
      </c>
      <c r="H172" s="78">
        <v>97800</v>
      </c>
      <c r="J172" s="100">
        <f>IF($F172&lt;DATE(Assumptions!$B$7,1,1),1,IF(YEAR($F172)&gt;Assumptions!$B$7,13,MONTH($F172)))</f>
        <v>1</v>
      </c>
      <c r="K172" s="100">
        <f>IF(OR($G172="",$G172&gt;Assumptions!$B$6),Assumptions!$B$8,IF($G172&lt;DATE(Assumptions!$B$7,1,1),0,MONTH($G172)))</f>
        <v>8</v>
      </c>
      <c r="L172" s="113">
        <f t="shared" si="6"/>
        <v>8</v>
      </c>
      <c r="M172" s="82">
        <f t="shared" si="7"/>
        <v>65200</v>
      </c>
      <c r="N172" s="100">
        <f>IF(AND($F172&lt;=Assumptions!$B$6,OR($G172="",$G172&gt;Assumptions!$B$6)),1,0)</f>
        <v>1</v>
      </c>
      <c r="O172" s="82">
        <f t="shared" si="8"/>
        <v>97800</v>
      </c>
    </row>
    <row r="173" spans="1:15" x14ac:dyDescent="0.25">
      <c r="A173" s="76" t="s">
        <v>1204</v>
      </c>
      <c r="B173" s="76" t="s">
        <v>574</v>
      </c>
      <c r="C173" s="76" t="s">
        <v>360</v>
      </c>
      <c r="D173" s="76" t="s">
        <v>553</v>
      </c>
      <c r="E173" s="77">
        <v>2</v>
      </c>
      <c r="F173" s="103">
        <v>45323</v>
      </c>
      <c r="H173" s="78">
        <v>89200</v>
      </c>
      <c r="J173" s="100">
        <f>IF($F173&lt;DATE(Assumptions!$B$7,1,1),1,IF(YEAR($F173)&gt;Assumptions!$B$7,13,MONTH($F173)))</f>
        <v>1</v>
      </c>
      <c r="K173" s="100">
        <f>IF(OR($G173="",$G173&gt;Assumptions!$B$6),Assumptions!$B$8,IF($G173&lt;DATE(Assumptions!$B$7,1,1),0,MONTH($G173)))</f>
        <v>8</v>
      </c>
      <c r="L173" s="113">
        <f t="shared" si="6"/>
        <v>8</v>
      </c>
      <c r="M173" s="82">
        <f t="shared" si="7"/>
        <v>59466.666666666664</v>
      </c>
      <c r="N173" s="100">
        <f>IF(AND($F173&lt;=Assumptions!$B$6,OR($G173="",$G173&gt;Assumptions!$B$6)),1,0)</f>
        <v>1</v>
      </c>
      <c r="O173" s="82">
        <f t="shared" si="8"/>
        <v>89200</v>
      </c>
    </row>
    <row r="174" spans="1:15" x14ac:dyDescent="0.25">
      <c r="A174" s="76" t="s">
        <v>1205</v>
      </c>
      <c r="B174" s="76" t="s">
        <v>575</v>
      </c>
      <c r="C174" s="76" t="s">
        <v>360</v>
      </c>
      <c r="D174" s="76" t="s">
        <v>553</v>
      </c>
      <c r="E174" s="77">
        <v>2</v>
      </c>
      <c r="F174" s="103">
        <v>43831</v>
      </c>
      <c r="H174" s="78">
        <v>89100</v>
      </c>
      <c r="J174" s="100">
        <f>IF($F174&lt;DATE(Assumptions!$B$7,1,1),1,IF(YEAR($F174)&gt;Assumptions!$B$7,13,MONTH($F174)))</f>
        <v>1</v>
      </c>
      <c r="K174" s="100">
        <f>IF(OR($G174="",$G174&gt;Assumptions!$B$6),Assumptions!$B$8,IF($G174&lt;DATE(Assumptions!$B$7,1,1),0,MONTH($G174)))</f>
        <v>8</v>
      </c>
      <c r="L174" s="113">
        <f t="shared" si="6"/>
        <v>8</v>
      </c>
      <c r="M174" s="82">
        <f t="shared" si="7"/>
        <v>59400</v>
      </c>
      <c r="N174" s="100">
        <f>IF(AND($F174&lt;=Assumptions!$B$6,OR($G174="",$G174&gt;Assumptions!$B$6)),1,0)</f>
        <v>1</v>
      </c>
      <c r="O174" s="82">
        <f t="shared" si="8"/>
        <v>89100</v>
      </c>
    </row>
    <row r="175" spans="1:15" x14ac:dyDescent="0.25">
      <c r="A175" s="76" t="s">
        <v>1206</v>
      </c>
      <c r="B175" s="76" t="s">
        <v>576</v>
      </c>
      <c r="C175" s="76" t="s">
        <v>360</v>
      </c>
      <c r="D175" s="76" t="s">
        <v>553</v>
      </c>
      <c r="E175" s="77">
        <v>2</v>
      </c>
      <c r="F175" s="103">
        <v>42036</v>
      </c>
      <c r="H175" s="78">
        <v>104100</v>
      </c>
      <c r="J175" s="100">
        <f>IF($F175&lt;DATE(Assumptions!$B$7,1,1),1,IF(YEAR($F175)&gt;Assumptions!$B$7,13,MONTH($F175)))</f>
        <v>1</v>
      </c>
      <c r="K175" s="100">
        <f>IF(OR($G175="",$G175&gt;Assumptions!$B$6),Assumptions!$B$8,IF($G175&lt;DATE(Assumptions!$B$7,1,1),0,MONTH($G175)))</f>
        <v>8</v>
      </c>
      <c r="L175" s="113">
        <f t="shared" si="6"/>
        <v>8</v>
      </c>
      <c r="M175" s="82">
        <f t="shared" si="7"/>
        <v>69400</v>
      </c>
      <c r="N175" s="100">
        <f>IF(AND($F175&lt;=Assumptions!$B$6,OR($G175="",$G175&gt;Assumptions!$B$6)),1,0)</f>
        <v>1</v>
      </c>
      <c r="O175" s="82">
        <f t="shared" si="8"/>
        <v>104100</v>
      </c>
    </row>
    <row r="176" spans="1:15" x14ac:dyDescent="0.25">
      <c r="A176" s="76" t="s">
        <v>1207</v>
      </c>
      <c r="B176" s="76" t="s">
        <v>577</v>
      </c>
      <c r="C176" s="76" t="s">
        <v>360</v>
      </c>
      <c r="D176" s="76" t="s">
        <v>551</v>
      </c>
      <c r="E176" s="77">
        <v>3</v>
      </c>
      <c r="F176" s="103">
        <v>45231</v>
      </c>
      <c r="H176" s="78">
        <v>133300</v>
      </c>
      <c r="J176" s="100">
        <f>IF($F176&lt;DATE(Assumptions!$B$7,1,1),1,IF(YEAR($F176)&gt;Assumptions!$B$7,13,MONTH($F176)))</f>
        <v>1</v>
      </c>
      <c r="K176" s="100">
        <f>IF(OR($G176="",$G176&gt;Assumptions!$B$6),Assumptions!$B$8,IF($G176&lt;DATE(Assumptions!$B$7,1,1),0,MONTH($G176)))</f>
        <v>8</v>
      </c>
      <c r="L176" s="113">
        <f t="shared" si="6"/>
        <v>8</v>
      </c>
      <c r="M176" s="82">
        <f t="shared" si="7"/>
        <v>88866.666666666672</v>
      </c>
      <c r="N176" s="100">
        <f>IF(AND($F176&lt;=Assumptions!$B$6,OR($G176="",$G176&gt;Assumptions!$B$6)),1,0)</f>
        <v>1</v>
      </c>
      <c r="O176" s="82">
        <f t="shared" si="8"/>
        <v>133300</v>
      </c>
    </row>
    <row r="177" spans="1:15" x14ac:dyDescent="0.25">
      <c r="A177" s="76" t="s">
        <v>1208</v>
      </c>
      <c r="B177" s="76" t="s">
        <v>578</v>
      </c>
      <c r="C177" s="76" t="s">
        <v>360</v>
      </c>
      <c r="D177" s="76" t="s">
        <v>553</v>
      </c>
      <c r="E177" s="77">
        <v>2</v>
      </c>
      <c r="F177" s="103">
        <v>42736</v>
      </c>
      <c r="H177" s="78">
        <v>92900</v>
      </c>
      <c r="J177" s="100">
        <f>IF($F177&lt;DATE(Assumptions!$B$7,1,1),1,IF(YEAR($F177)&gt;Assumptions!$B$7,13,MONTH($F177)))</f>
        <v>1</v>
      </c>
      <c r="K177" s="100">
        <f>IF(OR($G177="",$G177&gt;Assumptions!$B$6),Assumptions!$B$8,IF($G177&lt;DATE(Assumptions!$B$7,1,1),0,MONTH($G177)))</f>
        <v>8</v>
      </c>
      <c r="L177" s="113">
        <f t="shared" si="6"/>
        <v>8</v>
      </c>
      <c r="M177" s="82">
        <f t="shared" si="7"/>
        <v>61933.333333333336</v>
      </c>
      <c r="N177" s="100">
        <f>IF(AND($F177&lt;=Assumptions!$B$6,OR($G177="",$G177&gt;Assumptions!$B$6)),1,0)</f>
        <v>1</v>
      </c>
      <c r="O177" s="82">
        <f t="shared" si="8"/>
        <v>92900</v>
      </c>
    </row>
    <row r="178" spans="1:15" x14ac:dyDescent="0.25">
      <c r="A178" s="76" t="s">
        <v>1209</v>
      </c>
      <c r="B178" s="76" t="s">
        <v>579</v>
      </c>
      <c r="C178" s="76" t="s">
        <v>360</v>
      </c>
      <c r="D178" s="76" t="s">
        <v>553</v>
      </c>
      <c r="E178" s="77">
        <v>2</v>
      </c>
      <c r="F178" s="103">
        <v>44593</v>
      </c>
      <c r="G178" s="103">
        <v>46173</v>
      </c>
      <c r="H178" s="78">
        <v>88500</v>
      </c>
      <c r="J178" s="100">
        <f>IF($F178&lt;DATE(Assumptions!$B$7,1,1),1,IF(YEAR($F178)&gt;Assumptions!$B$7,13,MONTH($F178)))</f>
        <v>1</v>
      </c>
      <c r="K178" s="100">
        <f>IF(OR($G178="",$G178&gt;Assumptions!$B$6),Assumptions!$B$8,IF($G178&lt;DATE(Assumptions!$B$7,1,1),0,MONTH($G178)))</f>
        <v>5</v>
      </c>
      <c r="L178" s="113">
        <f t="shared" si="6"/>
        <v>5</v>
      </c>
      <c r="M178" s="82">
        <f t="shared" si="7"/>
        <v>36875</v>
      </c>
      <c r="N178" s="100">
        <f>IF(AND($F178&lt;=Assumptions!$B$6,OR($G178="",$G178&gt;Assumptions!$B$6)),1,0)</f>
        <v>0</v>
      </c>
      <c r="O178" s="82">
        <f t="shared" si="8"/>
        <v>0</v>
      </c>
    </row>
    <row r="179" spans="1:15" x14ac:dyDescent="0.25">
      <c r="A179" s="76" t="s">
        <v>1210</v>
      </c>
      <c r="B179" s="76" t="s">
        <v>580</v>
      </c>
      <c r="C179" s="76" t="s">
        <v>360</v>
      </c>
      <c r="D179" s="76" t="s">
        <v>551</v>
      </c>
      <c r="E179" s="77">
        <v>3</v>
      </c>
      <c r="F179" s="103">
        <v>42278</v>
      </c>
      <c r="H179" s="78">
        <v>137500</v>
      </c>
      <c r="J179" s="100">
        <f>IF($F179&lt;DATE(Assumptions!$B$7,1,1),1,IF(YEAR($F179)&gt;Assumptions!$B$7,13,MONTH($F179)))</f>
        <v>1</v>
      </c>
      <c r="K179" s="100">
        <f>IF(OR($G179="",$G179&gt;Assumptions!$B$6),Assumptions!$B$8,IF($G179&lt;DATE(Assumptions!$B$7,1,1),0,MONTH($G179)))</f>
        <v>8</v>
      </c>
      <c r="L179" s="113">
        <f t="shared" si="6"/>
        <v>8</v>
      </c>
      <c r="M179" s="82">
        <f t="shared" si="7"/>
        <v>91666.666666666672</v>
      </c>
      <c r="N179" s="100">
        <f>IF(AND($F179&lt;=Assumptions!$B$6,OR($G179="",$G179&gt;Assumptions!$B$6)),1,0)</f>
        <v>1</v>
      </c>
      <c r="O179" s="82">
        <f t="shared" si="8"/>
        <v>137500</v>
      </c>
    </row>
    <row r="180" spans="1:15" x14ac:dyDescent="0.25">
      <c r="A180" s="76" t="s">
        <v>1211</v>
      </c>
      <c r="B180" s="76" t="s">
        <v>581</v>
      </c>
      <c r="C180" s="76" t="s">
        <v>360</v>
      </c>
      <c r="D180" s="76" t="s">
        <v>553</v>
      </c>
      <c r="E180" s="77">
        <v>2</v>
      </c>
      <c r="F180" s="103">
        <v>45261</v>
      </c>
      <c r="H180" s="78">
        <v>92800</v>
      </c>
      <c r="J180" s="100">
        <f>IF($F180&lt;DATE(Assumptions!$B$7,1,1),1,IF(YEAR($F180)&gt;Assumptions!$B$7,13,MONTH($F180)))</f>
        <v>1</v>
      </c>
      <c r="K180" s="100">
        <f>IF(OR($G180="",$G180&gt;Assumptions!$B$6),Assumptions!$B$8,IF($G180&lt;DATE(Assumptions!$B$7,1,1),0,MONTH($G180)))</f>
        <v>8</v>
      </c>
      <c r="L180" s="113">
        <f t="shared" si="6"/>
        <v>8</v>
      </c>
      <c r="M180" s="82">
        <f t="shared" si="7"/>
        <v>61866.666666666664</v>
      </c>
      <c r="N180" s="100">
        <f>IF(AND($F180&lt;=Assumptions!$B$6,OR($G180="",$G180&gt;Assumptions!$B$6)),1,0)</f>
        <v>1</v>
      </c>
      <c r="O180" s="82">
        <f t="shared" si="8"/>
        <v>92800</v>
      </c>
    </row>
    <row r="181" spans="1:15" x14ac:dyDescent="0.25">
      <c r="A181" s="76" t="s">
        <v>1212</v>
      </c>
      <c r="B181" s="76" t="s">
        <v>582</v>
      </c>
      <c r="C181" s="76" t="s">
        <v>360</v>
      </c>
      <c r="D181" s="76" t="s">
        <v>553</v>
      </c>
      <c r="E181" s="77">
        <v>2</v>
      </c>
      <c r="F181" s="103">
        <v>44256</v>
      </c>
      <c r="H181" s="78">
        <v>103100</v>
      </c>
      <c r="J181" s="100">
        <f>IF($F181&lt;DATE(Assumptions!$B$7,1,1),1,IF(YEAR($F181)&gt;Assumptions!$B$7,13,MONTH($F181)))</f>
        <v>1</v>
      </c>
      <c r="K181" s="100">
        <f>IF(OR($G181="",$G181&gt;Assumptions!$B$6),Assumptions!$B$8,IF($G181&lt;DATE(Assumptions!$B$7,1,1),0,MONTH($G181)))</f>
        <v>8</v>
      </c>
      <c r="L181" s="113">
        <f t="shared" si="6"/>
        <v>8</v>
      </c>
      <c r="M181" s="82">
        <f t="shared" si="7"/>
        <v>68733.333333333328</v>
      </c>
      <c r="N181" s="100">
        <f>IF(AND($F181&lt;=Assumptions!$B$6,OR($G181="",$G181&gt;Assumptions!$B$6)),1,0)</f>
        <v>1</v>
      </c>
      <c r="O181" s="82">
        <f t="shared" si="8"/>
        <v>103100</v>
      </c>
    </row>
    <row r="182" spans="1:15" x14ac:dyDescent="0.25">
      <c r="A182" s="76" t="s">
        <v>1213</v>
      </c>
      <c r="B182" s="76" t="s">
        <v>583</v>
      </c>
      <c r="C182" s="76" t="s">
        <v>360</v>
      </c>
      <c r="D182" s="76" t="s">
        <v>551</v>
      </c>
      <c r="E182" s="77">
        <v>3</v>
      </c>
      <c r="F182" s="103">
        <v>44743</v>
      </c>
      <c r="H182" s="78">
        <v>113300</v>
      </c>
      <c r="J182" s="100">
        <f>IF($F182&lt;DATE(Assumptions!$B$7,1,1),1,IF(YEAR($F182)&gt;Assumptions!$B$7,13,MONTH($F182)))</f>
        <v>1</v>
      </c>
      <c r="K182" s="100">
        <f>IF(OR($G182="",$G182&gt;Assumptions!$B$6),Assumptions!$B$8,IF($G182&lt;DATE(Assumptions!$B$7,1,1),0,MONTH($G182)))</f>
        <v>8</v>
      </c>
      <c r="L182" s="113">
        <f t="shared" si="6"/>
        <v>8</v>
      </c>
      <c r="M182" s="82">
        <f t="shared" si="7"/>
        <v>75533.333333333328</v>
      </c>
      <c r="N182" s="100">
        <f>IF(AND($F182&lt;=Assumptions!$B$6,OR($G182="",$G182&gt;Assumptions!$B$6)),1,0)</f>
        <v>1</v>
      </c>
      <c r="O182" s="82">
        <f t="shared" si="8"/>
        <v>113300</v>
      </c>
    </row>
    <row r="183" spans="1:15" x14ac:dyDescent="0.25">
      <c r="A183" s="76" t="s">
        <v>1214</v>
      </c>
      <c r="B183" s="76" t="s">
        <v>584</v>
      </c>
      <c r="C183" s="76" t="s">
        <v>360</v>
      </c>
      <c r="D183" s="76" t="s">
        <v>566</v>
      </c>
      <c r="E183" s="77">
        <v>4</v>
      </c>
      <c r="F183" s="103">
        <v>42491</v>
      </c>
      <c r="H183" s="78">
        <v>156300</v>
      </c>
      <c r="J183" s="100">
        <f>IF($F183&lt;DATE(Assumptions!$B$7,1,1),1,IF(YEAR($F183)&gt;Assumptions!$B$7,13,MONTH($F183)))</f>
        <v>1</v>
      </c>
      <c r="K183" s="100">
        <f>IF(OR($G183="",$G183&gt;Assumptions!$B$6),Assumptions!$B$8,IF($G183&lt;DATE(Assumptions!$B$7,1,1),0,MONTH($G183)))</f>
        <v>8</v>
      </c>
      <c r="L183" s="113">
        <f t="shared" si="6"/>
        <v>8</v>
      </c>
      <c r="M183" s="82">
        <f t="shared" si="7"/>
        <v>104200</v>
      </c>
      <c r="N183" s="100">
        <f>IF(AND($F183&lt;=Assumptions!$B$6,OR($G183="",$G183&gt;Assumptions!$B$6)),1,0)</f>
        <v>1</v>
      </c>
      <c r="O183" s="82">
        <f t="shared" si="8"/>
        <v>156300</v>
      </c>
    </row>
    <row r="184" spans="1:15" x14ac:dyDescent="0.25">
      <c r="A184" s="76" t="s">
        <v>1215</v>
      </c>
      <c r="B184" s="76" t="s">
        <v>585</v>
      </c>
      <c r="C184" s="76" t="s">
        <v>360</v>
      </c>
      <c r="D184" s="76" t="s">
        <v>553</v>
      </c>
      <c r="E184" s="77">
        <v>2</v>
      </c>
      <c r="F184" s="103">
        <v>44136</v>
      </c>
      <c r="H184" s="78">
        <v>87200</v>
      </c>
      <c r="J184" s="100">
        <f>IF($F184&lt;DATE(Assumptions!$B$7,1,1),1,IF(YEAR($F184)&gt;Assumptions!$B$7,13,MONTH($F184)))</f>
        <v>1</v>
      </c>
      <c r="K184" s="100">
        <f>IF(OR($G184="",$G184&gt;Assumptions!$B$6),Assumptions!$B$8,IF($G184&lt;DATE(Assumptions!$B$7,1,1),0,MONTH($G184)))</f>
        <v>8</v>
      </c>
      <c r="L184" s="113">
        <f t="shared" si="6"/>
        <v>8</v>
      </c>
      <c r="M184" s="82">
        <f t="shared" si="7"/>
        <v>58133.333333333336</v>
      </c>
      <c r="N184" s="100">
        <f>IF(AND($F184&lt;=Assumptions!$B$6,OR($G184="",$G184&gt;Assumptions!$B$6)),1,0)</f>
        <v>1</v>
      </c>
      <c r="O184" s="82">
        <f t="shared" si="8"/>
        <v>87200</v>
      </c>
    </row>
    <row r="185" spans="1:15" x14ac:dyDescent="0.25">
      <c r="A185" s="76" t="s">
        <v>1216</v>
      </c>
      <c r="B185" s="76" t="s">
        <v>586</v>
      </c>
      <c r="C185" s="76" t="s">
        <v>360</v>
      </c>
      <c r="D185" s="76" t="s">
        <v>553</v>
      </c>
      <c r="E185" s="77">
        <v>2</v>
      </c>
      <c r="F185" s="103">
        <v>45717</v>
      </c>
      <c r="G185" s="103">
        <v>46053</v>
      </c>
      <c r="H185" s="78">
        <v>96500</v>
      </c>
      <c r="J185" s="100">
        <f>IF($F185&lt;DATE(Assumptions!$B$7,1,1),1,IF(YEAR($F185)&gt;Assumptions!$B$7,13,MONTH($F185)))</f>
        <v>1</v>
      </c>
      <c r="K185" s="100">
        <f>IF(OR($G185="",$G185&gt;Assumptions!$B$6),Assumptions!$B$8,IF($G185&lt;DATE(Assumptions!$B$7,1,1),0,MONTH($G185)))</f>
        <v>1</v>
      </c>
      <c r="L185" s="113">
        <f t="shared" si="6"/>
        <v>1</v>
      </c>
      <c r="M185" s="82">
        <f t="shared" si="7"/>
        <v>8041.666666666667</v>
      </c>
      <c r="N185" s="100">
        <f>IF(AND($F185&lt;=Assumptions!$B$6,OR($G185="",$G185&gt;Assumptions!$B$6)),1,0)</f>
        <v>0</v>
      </c>
      <c r="O185" s="82">
        <f t="shared" si="8"/>
        <v>0</v>
      </c>
    </row>
    <row r="186" spans="1:15" x14ac:dyDescent="0.25">
      <c r="A186" s="76" t="s">
        <v>1217</v>
      </c>
      <c r="B186" s="76" t="s">
        <v>586</v>
      </c>
      <c r="C186" s="76" t="s">
        <v>360</v>
      </c>
      <c r="D186" s="76" t="s">
        <v>553</v>
      </c>
      <c r="E186" s="77">
        <v>2</v>
      </c>
      <c r="F186" s="103">
        <v>46082</v>
      </c>
      <c r="H186" s="78">
        <v>100000</v>
      </c>
      <c r="J186" s="100">
        <f>IF($F186&lt;DATE(Assumptions!$B$7,1,1),1,IF(YEAR($F186)&gt;Assumptions!$B$7,13,MONTH($F186)))</f>
        <v>3</v>
      </c>
      <c r="K186" s="100">
        <f>IF(OR($G186="",$G186&gt;Assumptions!$B$6),Assumptions!$B$8,IF($G186&lt;DATE(Assumptions!$B$7,1,1),0,MONTH($G186)))</f>
        <v>8</v>
      </c>
      <c r="L186" s="113">
        <f t="shared" si="6"/>
        <v>6</v>
      </c>
      <c r="M186" s="82">
        <f t="shared" si="7"/>
        <v>50000</v>
      </c>
      <c r="N186" s="100">
        <f>IF(AND($F186&lt;=Assumptions!$B$6,OR($G186="",$G186&gt;Assumptions!$B$6)),1,0)</f>
        <v>1</v>
      </c>
      <c r="O186" s="82">
        <f t="shared" si="8"/>
        <v>100000</v>
      </c>
    </row>
    <row r="187" spans="1:15" x14ac:dyDescent="0.25">
      <c r="A187" s="76" t="s">
        <v>1218</v>
      </c>
      <c r="B187" s="76" t="s">
        <v>587</v>
      </c>
      <c r="C187" s="76" t="s">
        <v>360</v>
      </c>
      <c r="D187" s="76" t="s">
        <v>553</v>
      </c>
      <c r="E187" s="77">
        <v>2</v>
      </c>
      <c r="F187" s="103">
        <v>44621</v>
      </c>
      <c r="H187" s="78">
        <v>98300</v>
      </c>
      <c r="J187" s="100">
        <f>IF($F187&lt;DATE(Assumptions!$B$7,1,1),1,IF(YEAR($F187)&gt;Assumptions!$B$7,13,MONTH($F187)))</f>
        <v>1</v>
      </c>
      <c r="K187" s="100">
        <f>IF(OR($G187="",$G187&gt;Assumptions!$B$6),Assumptions!$B$8,IF($G187&lt;DATE(Assumptions!$B$7,1,1),0,MONTH($G187)))</f>
        <v>8</v>
      </c>
      <c r="L187" s="113">
        <f t="shared" si="6"/>
        <v>8</v>
      </c>
      <c r="M187" s="82">
        <f t="shared" si="7"/>
        <v>65533.333333333336</v>
      </c>
      <c r="N187" s="100">
        <f>IF(AND($F187&lt;=Assumptions!$B$6,OR($G187="",$G187&gt;Assumptions!$B$6)),1,0)</f>
        <v>1</v>
      </c>
      <c r="O187" s="82">
        <f t="shared" si="8"/>
        <v>98300</v>
      </c>
    </row>
    <row r="188" spans="1:15" x14ac:dyDescent="0.25">
      <c r="A188" s="76" t="s">
        <v>1219</v>
      </c>
      <c r="B188" s="76" t="s">
        <v>588</v>
      </c>
      <c r="C188" s="76" t="s">
        <v>360</v>
      </c>
      <c r="D188" s="76" t="s">
        <v>553</v>
      </c>
      <c r="E188" s="77">
        <v>2</v>
      </c>
      <c r="F188" s="103">
        <v>46174</v>
      </c>
      <c r="H188" s="78">
        <v>101000</v>
      </c>
      <c r="J188" s="100">
        <f>IF($F188&lt;DATE(Assumptions!$B$7,1,1),1,IF(YEAR($F188)&gt;Assumptions!$B$7,13,MONTH($F188)))</f>
        <v>6</v>
      </c>
      <c r="K188" s="100">
        <f>IF(OR($G188="",$G188&gt;Assumptions!$B$6),Assumptions!$B$8,IF($G188&lt;DATE(Assumptions!$B$7,1,1),0,MONTH($G188)))</f>
        <v>8</v>
      </c>
      <c r="L188" s="113">
        <f t="shared" si="6"/>
        <v>3</v>
      </c>
      <c r="M188" s="82">
        <f t="shared" si="7"/>
        <v>25250</v>
      </c>
      <c r="N188" s="100">
        <f>IF(AND($F188&lt;=Assumptions!$B$6,OR($G188="",$G188&gt;Assumptions!$B$6)),1,0)</f>
        <v>1</v>
      </c>
      <c r="O188" s="82">
        <f t="shared" si="8"/>
        <v>101000</v>
      </c>
    </row>
    <row r="189" spans="1:15" x14ac:dyDescent="0.25">
      <c r="A189" s="76" t="s">
        <v>1220</v>
      </c>
      <c r="B189" s="76" t="s">
        <v>589</v>
      </c>
      <c r="C189" s="76" t="s">
        <v>363</v>
      </c>
      <c r="D189" s="76" t="s">
        <v>590</v>
      </c>
      <c r="E189" s="77">
        <v>2</v>
      </c>
      <c r="F189" s="103">
        <v>42675</v>
      </c>
      <c r="H189" s="78">
        <v>98300</v>
      </c>
      <c r="J189" s="100">
        <f>IF($F189&lt;DATE(Assumptions!$B$7,1,1),1,IF(YEAR($F189)&gt;Assumptions!$B$7,13,MONTH($F189)))</f>
        <v>1</v>
      </c>
      <c r="K189" s="100">
        <f>IF(OR($G189="",$G189&gt;Assumptions!$B$6),Assumptions!$B$8,IF($G189&lt;DATE(Assumptions!$B$7,1,1),0,MONTH($G189)))</f>
        <v>8</v>
      </c>
      <c r="L189" s="113">
        <f t="shared" si="6"/>
        <v>8</v>
      </c>
      <c r="M189" s="82">
        <f t="shared" si="7"/>
        <v>65533.333333333336</v>
      </c>
      <c r="N189" s="100">
        <f>IF(AND($F189&lt;=Assumptions!$B$6,OR($G189="",$G189&gt;Assumptions!$B$6)),1,0)</f>
        <v>1</v>
      </c>
      <c r="O189" s="82">
        <f t="shared" si="8"/>
        <v>98300</v>
      </c>
    </row>
    <row r="190" spans="1:15" x14ac:dyDescent="0.25">
      <c r="A190" s="76" t="s">
        <v>1221</v>
      </c>
      <c r="B190" s="76" t="s">
        <v>591</v>
      </c>
      <c r="C190" s="76" t="s">
        <v>363</v>
      </c>
      <c r="D190" s="76" t="s">
        <v>592</v>
      </c>
      <c r="E190" s="77">
        <v>1</v>
      </c>
      <c r="F190" s="103">
        <v>45261</v>
      </c>
      <c r="H190" s="78">
        <v>67300</v>
      </c>
      <c r="J190" s="100">
        <f>IF($F190&lt;DATE(Assumptions!$B$7,1,1),1,IF(YEAR($F190)&gt;Assumptions!$B$7,13,MONTH($F190)))</f>
        <v>1</v>
      </c>
      <c r="K190" s="100">
        <f>IF(OR($G190="",$G190&gt;Assumptions!$B$6),Assumptions!$B$8,IF($G190&lt;DATE(Assumptions!$B$7,1,1),0,MONTH($G190)))</f>
        <v>8</v>
      </c>
      <c r="L190" s="113">
        <f t="shared" si="6"/>
        <v>8</v>
      </c>
      <c r="M190" s="82">
        <f t="shared" si="7"/>
        <v>44866.666666666664</v>
      </c>
      <c r="N190" s="100">
        <f>IF(AND($F190&lt;=Assumptions!$B$6,OR($G190="",$G190&gt;Assumptions!$B$6)),1,0)</f>
        <v>1</v>
      </c>
      <c r="O190" s="82">
        <f t="shared" si="8"/>
        <v>67300</v>
      </c>
    </row>
    <row r="191" spans="1:15" x14ac:dyDescent="0.25">
      <c r="A191" s="76" t="s">
        <v>1222</v>
      </c>
      <c r="B191" s="76" t="s">
        <v>593</v>
      </c>
      <c r="C191" s="76" t="s">
        <v>363</v>
      </c>
      <c r="D191" s="76" t="s">
        <v>592</v>
      </c>
      <c r="E191" s="77">
        <v>1</v>
      </c>
      <c r="F191" s="103">
        <v>41699</v>
      </c>
      <c r="H191" s="78">
        <v>56500</v>
      </c>
      <c r="J191" s="100">
        <f>IF($F191&lt;DATE(Assumptions!$B$7,1,1),1,IF(YEAR($F191)&gt;Assumptions!$B$7,13,MONTH($F191)))</f>
        <v>1</v>
      </c>
      <c r="K191" s="100">
        <f>IF(OR($G191="",$G191&gt;Assumptions!$B$6),Assumptions!$B$8,IF($G191&lt;DATE(Assumptions!$B$7,1,1),0,MONTH($G191)))</f>
        <v>8</v>
      </c>
      <c r="L191" s="113">
        <f t="shared" si="6"/>
        <v>8</v>
      </c>
      <c r="M191" s="82">
        <f t="shared" si="7"/>
        <v>37666.666666666664</v>
      </c>
      <c r="N191" s="100">
        <f>IF(AND($F191&lt;=Assumptions!$B$6,OR($G191="",$G191&gt;Assumptions!$B$6)),1,0)</f>
        <v>1</v>
      </c>
      <c r="O191" s="82">
        <f t="shared" si="8"/>
        <v>56500</v>
      </c>
    </row>
    <row r="192" spans="1:15" x14ac:dyDescent="0.25">
      <c r="A192" s="76" t="s">
        <v>1223</v>
      </c>
      <c r="B192" s="76" t="s">
        <v>594</v>
      </c>
      <c r="C192" s="76" t="s">
        <v>363</v>
      </c>
      <c r="D192" s="76" t="s">
        <v>592</v>
      </c>
      <c r="E192" s="77">
        <v>1</v>
      </c>
      <c r="F192" s="103">
        <v>44621</v>
      </c>
      <c r="H192" s="78">
        <v>63000</v>
      </c>
      <c r="J192" s="100">
        <f>IF($F192&lt;DATE(Assumptions!$B$7,1,1),1,IF(YEAR($F192)&gt;Assumptions!$B$7,13,MONTH($F192)))</f>
        <v>1</v>
      </c>
      <c r="K192" s="100">
        <f>IF(OR($G192="",$G192&gt;Assumptions!$B$6),Assumptions!$B$8,IF($G192&lt;DATE(Assumptions!$B$7,1,1),0,MONTH($G192)))</f>
        <v>8</v>
      </c>
      <c r="L192" s="113">
        <f t="shared" si="6"/>
        <v>8</v>
      </c>
      <c r="M192" s="82">
        <f t="shared" si="7"/>
        <v>42000</v>
      </c>
      <c r="N192" s="100">
        <f>IF(AND($F192&lt;=Assumptions!$B$6,OR($G192="",$G192&gt;Assumptions!$B$6)),1,0)</f>
        <v>1</v>
      </c>
      <c r="O192" s="82">
        <f t="shared" si="8"/>
        <v>63000</v>
      </c>
    </row>
    <row r="193" spans="1:15" x14ac:dyDescent="0.25">
      <c r="A193" s="76" t="s">
        <v>1224</v>
      </c>
      <c r="B193" s="76" t="s">
        <v>595</v>
      </c>
      <c r="C193" s="76" t="s">
        <v>363</v>
      </c>
      <c r="D193" s="76" t="s">
        <v>592</v>
      </c>
      <c r="E193" s="77">
        <v>1</v>
      </c>
      <c r="F193" s="103">
        <v>43101</v>
      </c>
      <c r="H193" s="78">
        <v>69100</v>
      </c>
      <c r="J193" s="100">
        <f>IF($F193&lt;DATE(Assumptions!$B$7,1,1),1,IF(YEAR($F193)&gt;Assumptions!$B$7,13,MONTH($F193)))</f>
        <v>1</v>
      </c>
      <c r="K193" s="100">
        <f>IF(OR($G193="",$G193&gt;Assumptions!$B$6),Assumptions!$B$8,IF($G193&lt;DATE(Assumptions!$B$7,1,1),0,MONTH($G193)))</f>
        <v>8</v>
      </c>
      <c r="L193" s="113">
        <f t="shared" si="6"/>
        <v>8</v>
      </c>
      <c r="M193" s="82">
        <f t="shared" si="7"/>
        <v>46066.666666666664</v>
      </c>
      <c r="N193" s="100">
        <f>IF(AND($F193&lt;=Assumptions!$B$6,OR($G193="",$G193&gt;Assumptions!$B$6)),1,0)</f>
        <v>1</v>
      </c>
      <c r="O193" s="82">
        <f t="shared" si="8"/>
        <v>69100</v>
      </c>
    </row>
    <row r="194" spans="1:15" x14ac:dyDescent="0.25">
      <c r="A194" s="76" t="s">
        <v>1225</v>
      </c>
      <c r="B194" s="76" t="s">
        <v>596</v>
      </c>
      <c r="C194" s="76" t="s">
        <v>363</v>
      </c>
      <c r="D194" s="76" t="s">
        <v>597</v>
      </c>
      <c r="E194" s="77">
        <v>4</v>
      </c>
      <c r="F194" s="103">
        <v>44927</v>
      </c>
      <c r="H194" s="78">
        <v>164600</v>
      </c>
      <c r="J194" s="100">
        <f>IF($F194&lt;DATE(Assumptions!$B$7,1,1),1,IF(YEAR($F194)&gt;Assumptions!$B$7,13,MONTH($F194)))</f>
        <v>1</v>
      </c>
      <c r="K194" s="100">
        <f>IF(OR($G194="",$G194&gt;Assumptions!$B$6),Assumptions!$B$8,IF($G194&lt;DATE(Assumptions!$B$7,1,1),0,MONTH($G194)))</f>
        <v>8</v>
      </c>
      <c r="L194" s="113">
        <f t="shared" si="6"/>
        <v>8</v>
      </c>
      <c r="M194" s="82">
        <f t="shared" si="7"/>
        <v>109733.33333333333</v>
      </c>
      <c r="N194" s="100">
        <f>IF(AND($F194&lt;=Assumptions!$B$6,OR($G194="",$G194&gt;Assumptions!$B$6)),1,0)</f>
        <v>1</v>
      </c>
      <c r="O194" s="82">
        <f t="shared" si="8"/>
        <v>164600</v>
      </c>
    </row>
    <row r="195" spans="1:15" x14ac:dyDescent="0.25">
      <c r="A195" s="76" t="s">
        <v>1226</v>
      </c>
      <c r="B195" s="76" t="s">
        <v>598</v>
      </c>
      <c r="C195" s="76" t="s">
        <v>363</v>
      </c>
      <c r="D195" s="76" t="s">
        <v>590</v>
      </c>
      <c r="E195" s="77">
        <v>2</v>
      </c>
      <c r="F195" s="103">
        <v>41852</v>
      </c>
      <c r="G195" s="103">
        <v>46173</v>
      </c>
      <c r="H195" s="78">
        <v>78700</v>
      </c>
      <c r="J195" s="100">
        <f>IF($F195&lt;DATE(Assumptions!$B$7,1,1),1,IF(YEAR($F195)&gt;Assumptions!$B$7,13,MONTH($F195)))</f>
        <v>1</v>
      </c>
      <c r="K195" s="100">
        <f>IF(OR($G195="",$G195&gt;Assumptions!$B$6),Assumptions!$B$8,IF($G195&lt;DATE(Assumptions!$B$7,1,1),0,MONTH($G195)))</f>
        <v>5</v>
      </c>
      <c r="L195" s="113">
        <f t="shared" si="6"/>
        <v>5</v>
      </c>
      <c r="M195" s="82">
        <f t="shared" si="7"/>
        <v>32791.666666666664</v>
      </c>
      <c r="N195" s="100">
        <f>IF(AND($F195&lt;=Assumptions!$B$6,OR($G195="",$G195&gt;Assumptions!$B$6)),1,0)</f>
        <v>0</v>
      </c>
      <c r="O195" s="82">
        <f t="shared" si="8"/>
        <v>0</v>
      </c>
    </row>
    <row r="196" spans="1:15" x14ac:dyDescent="0.25">
      <c r="A196" s="76" t="s">
        <v>1227</v>
      </c>
      <c r="B196" s="76" t="s">
        <v>598</v>
      </c>
      <c r="C196" s="76" t="s">
        <v>363</v>
      </c>
      <c r="D196" s="76" t="s">
        <v>590</v>
      </c>
      <c r="E196" s="77">
        <v>2</v>
      </c>
      <c r="F196" s="103">
        <v>46174</v>
      </c>
      <c r="H196" s="78">
        <v>83000</v>
      </c>
      <c r="J196" s="100">
        <f>IF($F196&lt;DATE(Assumptions!$B$7,1,1),1,IF(YEAR($F196)&gt;Assumptions!$B$7,13,MONTH($F196)))</f>
        <v>6</v>
      </c>
      <c r="K196" s="100">
        <f>IF(OR($G196="",$G196&gt;Assumptions!$B$6),Assumptions!$B$8,IF($G196&lt;DATE(Assumptions!$B$7,1,1),0,MONTH($G196)))</f>
        <v>8</v>
      </c>
      <c r="L196" s="113">
        <f t="shared" si="6"/>
        <v>3</v>
      </c>
      <c r="M196" s="82">
        <f t="shared" si="7"/>
        <v>20750</v>
      </c>
      <c r="N196" s="100">
        <f>IF(AND($F196&lt;=Assumptions!$B$6,OR($G196="",$G196&gt;Assumptions!$B$6)),1,0)</f>
        <v>1</v>
      </c>
      <c r="O196" s="82">
        <f t="shared" si="8"/>
        <v>83000</v>
      </c>
    </row>
    <row r="197" spans="1:15" x14ac:dyDescent="0.25">
      <c r="A197" s="76" t="s">
        <v>1228</v>
      </c>
      <c r="B197" s="76" t="s">
        <v>599</v>
      </c>
      <c r="C197" s="76" t="s">
        <v>363</v>
      </c>
      <c r="D197" s="76" t="s">
        <v>592</v>
      </c>
      <c r="E197" s="77">
        <v>1</v>
      </c>
      <c r="F197" s="103">
        <v>45017</v>
      </c>
      <c r="H197" s="78">
        <v>54400</v>
      </c>
      <c r="J197" s="100">
        <f>IF($F197&lt;DATE(Assumptions!$B$7,1,1),1,IF(YEAR($F197)&gt;Assumptions!$B$7,13,MONTH($F197)))</f>
        <v>1</v>
      </c>
      <c r="K197" s="100">
        <f>IF(OR($G197="",$G197&gt;Assumptions!$B$6),Assumptions!$B$8,IF($G197&lt;DATE(Assumptions!$B$7,1,1),0,MONTH($G197)))</f>
        <v>8</v>
      </c>
      <c r="L197" s="113">
        <f t="shared" ref="L197:L260" si="9">MAX(0,K197-J197+1)</f>
        <v>8</v>
      </c>
      <c r="M197" s="82">
        <f t="shared" ref="M197:M260" si="10">$H197*L197/12</f>
        <v>36266.666666666664</v>
      </c>
      <c r="N197" s="100">
        <f>IF(AND($F197&lt;=Assumptions!$B$6,OR($G197="",$G197&gt;Assumptions!$B$6)),1,0)</f>
        <v>1</v>
      </c>
      <c r="O197" s="82">
        <f t="shared" ref="O197:O260" si="11">$H197*N197</f>
        <v>54400</v>
      </c>
    </row>
    <row r="198" spans="1:15" x14ac:dyDescent="0.25">
      <c r="A198" s="76" t="s">
        <v>1229</v>
      </c>
      <c r="B198" s="76" t="s">
        <v>600</v>
      </c>
      <c r="C198" s="76" t="s">
        <v>363</v>
      </c>
      <c r="D198" s="76" t="s">
        <v>601</v>
      </c>
      <c r="E198" s="77">
        <v>3</v>
      </c>
      <c r="F198" s="103">
        <v>43983</v>
      </c>
      <c r="H198" s="78">
        <v>131500</v>
      </c>
      <c r="J198" s="100">
        <f>IF($F198&lt;DATE(Assumptions!$B$7,1,1),1,IF(YEAR($F198)&gt;Assumptions!$B$7,13,MONTH($F198)))</f>
        <v>1</v>
      </c>
      <c r="K198" s="100">
        <f>IF(OR($G198="",$G198&gt;Assumptions!$B$6),Assumptions!$B$8,IF($G198&lt;DATE(Assumptions!$B$7,1,1),0,MONTH($G198)))</f>
        <v>8</v>
      </c>
      <c r="L198" s="113">
        <f t="shared" si="9"/>
        <v>8</v>
      </c>
      <c r="M198" s="82">
        <f t="shared" si="10"/>
        <v>87666.666666666672</v>
      </c>
      <c r="N198" s="100">
        <f>IF(AND($F198&lt;=Assumptions!$B$6,OR($G198="",$G198&gt;Assumptions!$B$6)),1,0)</f>
        <v>1</v>
      </c>
      <c r="O198" s="82">
        <f t="shared" si="11"/>
        <v>131500</v>
      </c>
    </row>
    <row r="199" spans="1:15" x14ac:dyDescent="0.25">
      <c r="A199" s="76" t="s">
        <v>1230</v>
      </c>
      <c r="B199" s="76" t="s">
        <v>602</v>
      </c>
      <c r="C199" s="76" t="s">
        <v>363</v>
      </c>
      <c r="D199" s="76" t="s">
        <v>590</v>
      </c>
      <c r="E199" s="77">
        <v>2</v>
      </c>
      <c r="F199" s="103">
        <v>42156</v>
      </c>
      <c r="H199" s="78">
        <v>81300</v>
      </c>
      <c r="J199" s="100">
        <f>IF($F199&lt;DATE(Assumptions!$B$7,1,1),1,IF(YEAR($F199)&gt;Assumptions!$B$7,13,MONTH($F199)))</f>
        <v>1</v>
      </c>
      <c r="K199" s="100">
        <f>IF(OR($G199="",$G199&gt;Assumptions!$B$6),Assumptions!$B$8,IF($G199&lt;DATE(Assumptions!$B$7,1,1),0,MONTH($G199)))</f>
        <v>8</v>
      </c>
      <c r="L199" s="113">
        <f t="shared" si="9"/>
        <v>8</v>
      </c>
      <c r="M199" s="82">
        <f t="shared" si="10"/>
        <v>54200</v>
      </c>
      <c r="N199" s="100">
        <f>IF(AND($F199&lt;=Assumptions!$B$6,OR($G199="",$G199&gt;Assumptions!$B$6)),1,0)</f>
        <v>1</v>
      </c>
      <c r="O199" s="82">
        <f t="shared" si="11"/>
        <v>81300</v>
      </c>
    </row>
    <row r="200" spans="1:15" x14ac:dyDescent="0.25">
      <c r="A200" s="76" t="s">
        <v>1231</v>
      </c>
      <c r="B200" s="76" t="s">
        <v>603</v>
      </c>
      <c r="C200" s="76" t="s">
        <v>363</v>
      </c>
      <c r="D200" s="76" t="s">
        <v>592</v>
      </c>
      <c r="E200" s="77">
        <v>1</v>
      </c>
      <c r="F200" s="103">
        <v>44682</v>
      </c>
      <c r="H200" s="78">
        <v>64200</v>
      </c>
      <c r="J200" s="100">
        <f>IF($F200&lt;DATE(Assumptions!$B$7,1,1),1,IF(YEAR($F200)&gt;Assumptions!$B$7,13,MONTH($F200)))</f>
        <v>1</v>
      </c>
      <c r="K200" s="100">
        <f>IF(OR($G200="",$G200&gt;Assumptions!$B$6),Assumptions!$B$8,IF($G200&lt;DATE(Assumptions!$B$7,1,1),0,MONTH($G200)))</f>
        <v>8</v>
      </c>
      <c r="L200" s="113">
        <f t="shared" si="9"/>
        <v>8</v>
      </c>
      <c r="M200" s="82">
        <f t="shared" si="10"/>
        <v>42800</v>
      </c>
      <c r="N200" s="100">
        <f>IF(AND($F200&lt;=Assumptions!$B$6,OR($G200="",$G200&gt;Assumptions!$B$6)),1,0)</f>
        <v>1</v>
      </c>
      <c r="O200" s="82">
        <f t="shared" si="11"/>
        <v>64200</v>
      </c>
    </row>
    <row r="201" spans="1:15" x14ac:dyDescent="0.25">
      <c r="A201" s="76" t="s">
        <v>1232</v>
      </c>
      <c r="B201" s="76" t="s">
        <v>604</v>
      </c>
      <c r="C201" s="76" t="s">
        <v>363</v>
      </c>
      <c r="D201" s="76" t="s">
        <v>601</v>
      </c>
      <c r="E201" s="77">
        <v>3</v>
      </c>
      <c r="F201" s="103">
        <v>43435</v>
      </c>
      <c r="H201" s="78">
        <v>125500</v>
      </c>
      <c r="J201" s="100">
        <f>IF($F201&lt;DATE(Assumptions!$B$7,1,1),1,IF(YEAR($F201)&gt;Assumptions!$B$7,13,MONTH($F201)))</f>
        <v>1</v>
      </c>
      <c r="K201" s="100">
        <f>IF(OR($G201="",$G201&gt;Assumptions!$B$6),Assumptions!$B$8,IF($G201&lt;DATE(Assumptions!$B$7,1,1),0,MONTH($G201)))</f>
        <v>8</v>
      </c>
      <c r="L201" s="113">
        <f t="shared" si="9"/>
        <v>8</v>
      </c>
      <c r="M201" s="82">
        <f t="shared" si="10"/>
        <v>83666.666666666672</v>
      </c>
      <c r="N201" s="100">
        <f>IF(AND($F201&lt;=Assumptions!$B$6,OR($G201="",$G201&gt;Assumptions!$B$6)),1,0)</f>
        <v>1</v>
      </c>
      <c r="O201" s="82">
        <f t="shared" si="11"/>
        <v>125500</v>
      </c>
    </row>
    <row r="202" spans="1:15" x14ac:dyDescent="0.25">
      <c r="A202" s="76" t="s">
        <v>1233</v>
      </c>
      <c r="B202" s="76" t="s">
        <v>605</v>
      </c>
      <c r="C202" s="76" t="s">
        <v>363</v>
      </c>
      <c r="D202" s="76" t="s">
        <v>592</v>
      </c>
      <c r="E202" s="77">
        <v>1</v>
      </c>
      <c r="F202" s="103">
        <v>44075</v>
      </c>
      <c r="H202" s="78">
        <v>52400</v>
      </c>
      <c r="J202" s="100">
        <f>IF($F202&lt;DATE(Assumptions!$B$7,1,1),1,IF(YEAR($F202)&gt;Assumptions!$B$7,13,MONTH($F202)))</f>
        <v>1</v>
      </c>
      <c r="K202" s="100">
        <f>IF(OR($G202="",$G202&gt;Assumptions!$B$6),Assumptions!$B$8,IF($G202&lt;DATE(Assumptions!$B$7,1,1),0,MONTH($G202)))</f>
        <v>8</v>
      </c>
      <c r="L202" s="113">
        <f t="shared" si="9"/>
        <v>8</v>
      </c>
      <c r="M202" s="82">
        <f t="shared" si="10"/>
        <v>34933.333333333336</v>
      </c>
      <c r="N202" s="100">
        <f>IF(AND($F202&lt;=Assumptions!$B$6,OR($G202="",$G202&gt;Assumptions!$B$6)),1,0)</f>
        <v>1</v>
      </c>
      <c r="O202" s="82">
        <f t="shared" si="11"/>
        <v>52400</v>
      </c>
    </row>
    <row r="203" spans="1:15" x14ac:dyDescent="0.25">
      <c r="A203" s="76" t="s">
        <v>1234</v>
      </c>
      <c r="B203" s="76" t="s">
        <v>606</v>
      </c>
      <c r="C203" s="76" t="s">
        <v>363</v>
      </c>
      <c r="D203" s="76" t="s">
        <v>592</v>
      </c>
      <c r="E203" s="77">
        <v>1</v>
      </c>
      <c r="F203" s="103">
        <v>45047</v>
      </c>
      <c r="H203" s="78">
        <v>53200</v>
      </c>
      <c r="J203" s="100">
        <f>IF($F203&lt;DATE(Assumptions!$B$7,1,1),1,IF(YEAR($F203)&gt;Assumptions!$B$7,13,MONTH($F203)))</f>
        <v>1</v>
      </c>
      <c r="K203" s="100">
        <f>IF(OR($G203="",$G203&gt;Assumptions!$B$6),Assumptions!$B$8,IF($G203&lt;DATE(Assumptions!$B$7,1,1),0,MONTH($G203)))</f>
        <v>8</v>
      </c>
      <c r="L203" s="113">
        <f t="shared" si="9"/>
        <v>8</v>
      </c>
      <c r="M203" s="82">
        <f t="shared" si="10"/>
        <v>35466.666666666664</v>
      </c>
      <c r="N203" s="100">
        <f>IF(AND($F203&lt;=Assumptions!$B$6,OR($G203="",$G203&gt;Assumptions!$B$6)),1,0)</f>
        <v>1</v>
      </c>
      <c r="O203" s="82">
        <f t="shared" si="11"/>
        <v>53200</v>
      </c>
    </row>
    <row r="204" spans="1:15" x14ac:dyDescent="0.25">
      <c r="A204" s="76" t="s">
        <v>1235</v>
      </c>
      <c r="B204" s="76" t="s">
        <v>607</v>
      </c>
      <c r="C204" s="76" t="s">
        <v>363</v>
      </c>
      <c r="D204" s="76" t="s">
        <v>592</v>
      </c>
      <c r="E204" s="77">
        <v>1</v>
      </c>
      <c r="F204" s="103">
        <v>41699</v>
      </c>
      <c r="H204" s="78">
        <v>55600</v>
      </c>
      <c r="J204" s="100">
        <f>IF($F204&lt;DATE(Assumptions!$B$7,1,1),1,IF(YEAR($F204)&gt;Assumptions!$B$7,13,MONTH($F204)))</f>
        <v>1</v>
      </c>
      <c r="K204" s="100">
        <f>IF(OR($G204="",$G204&gt;Assumptions!$B$6),Assumptions!$B$8,IF($G204&lt;DATE(Assumptions!$B$7,1,1),0,MONTH($G204)))</f>
        <v>8</v>
      </c>
      <c r="L204" s="113">
        <f t="shared" si="9"/>
        <v>8</v>
      </c>
      <c r="M204" s="82">
        <f t="shared" si="10"/>
        <v>37066.666666666664</v>
      </c>
      <c r="N204" s="100">
        <f>IF(AND($F204&lt;=Assumptions!$B$6,OR($G204="",$G204&gt;Assumptions!$B$6)),1,0)</f>
        <v>1</v>
      </c>
      <c r="O204" s="82">
        <f t="shared" si="11"/>
        <v>55600</v>
      </c>
    </row>
    <row r="205" spans="1:15" x14ac:dyDescent="0.25">
      <c r="A205" s="76" t="s">
        <v>1236</v>
      </c>
      <c r="B205" s="76" t="s">
        <v>608</v>
      </c>
      <c r="C205" s="76" t="s">
        <v>363</v>
      </c>
      <c r="D205" s="76" t="s">
        <v>592</v>
      </c>
      <c r="E205" s="77">
        <v>1</v>
      </c>
      <c r="F205" s="103">
        <v>43800</v>
      </c>
      <c r="H205" s="78">
        <v>69000</v>
      </c>
      <c r="J205" s="100">
        <f>IF($F205&lt;DATE(Assumptions!$B$7,1,1),1,IF(YEAR($F205)&gt;Assumptions!$B$7,13,MONTH($F205)))</f>
        <v>1</v>
      </c>
      <c r="K205" s="100">
        <f>IF(OR($G205="",$G205&gt;Assumptions!$B$6),Assumptions!$B$8,IF($G205&lt;DATE(Assumptions!$B$7,1,1),0,MONTH($G205)))</f>
        <v>8</v>
      </c>
      <c r="L205" s="113">
        <f t="shared" si="9"/>
        <v>8</v>
      </c>
      <c r="M205" s="82">
        <f t="shared" si="10"/>
        <v>46000</v>
      </c>
      <c r="N205" s="100">
        <f>IF(AND($F205&lt;=Assumptions!$B$6,OR($G205="",$G205&gt;Assumptions!$B$6)),1,0)</f>
        <v>1</v>
      </c>
      <c r="O205" s="82">
        <f t="shared" si="11"/>
        <v>69000</v>
      </c>
    </row>
    <row r="206" spans="1:15" x14ac:dyDescent="0.25">
      <c r="A206" s="76" t="s">
        <v>1237</v>
      </c>
      <c r="B206" s="76" t="s">
        <v>609</v>
      </c>
      <c r="C206" s="76" t="s">
        <v>363</v>
      </c>
      <c r="D206" s="76" t="s">
        <v>601</v>
      </c>
      <c r="E206" s="77">
        <v>3</v>
      </c>
      <c r="F206" s="103">
        <v>45017</v>
      </c>
      <c r="H206" s="78">
        <v>125100</v>
      </c>
      <c r="J206" s="100">
        <f>IF($F206&lt;DATE(Assumptions!$B$7,1,1),1,IF(YEAR($F206)&gt;Assumptions!$B$7,13,MONTH($F206)))</f>
        <v>1</v>
      </c>
      <c r="K206" s="100">
        <f>IF(OR($G206="",$G206&gt;Assumptions!$B$6),Assumptions!$B$8,IF($G206&lt;DATE(Assumptions!$B$7,1,1),0,MONTH($G206)))</f>
        <v>8</v>
      </c>
      <c r="L206" s="113">
        <f t="shared" si="9"/>
        <v>8</v>
      </c>
      <c r="M206" s="82">
        <f t="shared" si="10"/>
        <v>83400</v>
      </c>
      <c r="N206" s="100">
        <f>IF(AND($F206&lt;=Assumptions!$B$6,OR($G206="",$G206&gt;Assumptions!$B$6)),1,0)</f>
        <v>1</v>
      </c>
      <c r="O206" s="82">
        <f t="shared" si="11"/>
        <v>125100</v>
      </c>
    </row>
    <row r="207" spans="1:15" x14ac:dyDescent="0.25">
      <c r="A207" s="76" t="s">
        <v>1238</v>
      </c>
      <c r="B207" s="76" t="s">
        <v>610</v>
      </c>
      <c r="C207" s="76" t="s">
        <v>363</v>
      </c>
      <c r="D207" s="76" t="s">
        <v>592</v>
      </c>
      <c r="E207" s="77">
        <v>1</v>
      </c>
      <c r="F207" s="103">
        <v>43556</v>
      </c>
      <c r="H207" s="78">
        <v>54300</v>
      </c>
      <c r="J207" s="100">
        <f>IF($F207&lt;DATE(Assumptions!$B$7,1,1),1,IF(YEAR($F207)&gt;Assumptions!$B$7,13,MONTH($F207)))</f>
        <v>1</v>
      </c>
      <c r="K207" s="100">
        <f>IF(OR($G207="",$G207&gt;Assumptions!$B$6),Assumptions!$B$8,IF($G207&lt;DATE(Assumptions!$B$7,1,1),0,MONTH($G207)))</f>
        <v>8</v>
      </c>
      <c r="L207" s="113">
        <f t="shared" si="9"/>
        <v>8</v>
      </c>
      <c r="M207" s="82">
        <f t="shared" si="10"/>
        <v>36200</v>
      </c>
      <c r="N207" s="100">
        <f>IF(AND($F207&lt;=Assumptions!$B$6,OR($G207="",$G207&gt;Assumptions!$B$6)),1,0)</f>
        <v>1</v>
      </c>
      <c r="O207" s="82">
        <f t="shared" si="11"/>
        <v>54300</v>
      </c>
    </row>
    <row r="208" spans="1:15" x14ac:dyDescent="0.25">
      <c r="A208" s="76" t="s">
        <v>1239</v>
      </c>
      <c r="B208" s="76" t="s">
        <v>611</v>
      </c>
      <c r="C208" s="76" t="s">
        <v>363</v>
      </c>
      <c r="D208" s="76" t="s">
        <v>592</v>
      </c>
      <c r="E208" s="77">
        <v>1</v>
      </c>
      <c r="F208" s="103">
        <v>44562</v>
      </c>
      <c r="H208" s="78">
        <v>65800</v>
      </c>
      <c r="J208" s="100">
        <f>IF($F208&lt;DATE(Assumptions!$B$7,1,1),1,IF(YEAR($F208)&gt;Assumptions!$B$7,13,MONTH($F208)))</f>
        <v>1</v>
      </c>
      <c r="K208" s="100">
        <f>IF(OR($G208="",$G208&gt;Assumptions!$B$6),Assumptions!$B$8,IF($G208&lt;DATE(Assumptions!$B$7,1,1),0,MONTH($G208)))</f>
        <v>8</v>
      </c>
      <c r="L208" s="113">
        <f t="shared" si="9"/>
        <v>8</v>
      </c>
      <c r="M208" s="82">
        <f t="shared" si="10"/>
        <v>43866.666666666664</v>
      </c>
      <c r="N208" s="100">
        <f>IF(AND($F208&lt;=Assumptions!$B$6,OR($G208="",$G208&gt;Assumptions!$B$6)),1,0)</f>
        <v>1</v>
      </c>
      <c r="O208" s="82">
        <f t="shared" si="11"/>
        <v>65800</v>
      </c>
    </row>
    <row r="209" spans="1:15" x14ac:dyDescent="0.25">
      <c r="A209" s="76" t="s">
        <v>1240</v>
      </c>
      <c r="B209" s="76" t="s">
        <v>612</v>
      </c>
      <c r="C209" s="76" t="s">
        <v>363</v>
      </c>
      <c r="D209" s="76" t="s">
        <v>590</v>
      </c>
      <c r="E209" s="77">
        <v>2</v>
      </c>
      <c r="F209" s="103">
        <v>41760</v>
      </c>
      <c r="H209" s="78">
        <v>72900</v>
      </c>
      <c r="J209" s="100">
        <f>IF($F209&lt;DATE(Assumptions!$B$7,1,1),1,IF(YEAR($F209)&gt;Assumptions!$B$7,13,MONTH($F209)))</f>
        <v>1</v>
      </c>
      <c r="K209" s="100">
        <f>IF(OR($G209="",$G209&gt;Assumptions!$B$6),Assumptions!$B$8,IF($G209&lt;DATE(Assumptions!$B$7,1,1),0,MONTH($G209)))</f>
        <v>8</v>
      </c>
      <c r="L209" s="113">
        <f t="shared" si="9"/>
        <v>8</v>
      </c>
      <c r="M209" s="82">
        <f t="shared" si="10"/>
        <v>48600</v>
      </c>
      <c r="N209" s="100">
        <f>IF(AND($F209&lt;=Assumptions!$B$6,OR($G209="",$G209&gt;Assumptions!$B$6)),1,0)</f>
        <v>1</v>
      </c>
      <c r="O209" s="82">
        <f t="shared" si="11"/>
        <v>72900</v>
      </c>
    </row>
    <row r="210" spans="1:15" x14ac:dyDescent="0.25">
      <c r="A210" s="76" t="s">
        <v>1241</v>
      </c>
      <c r="B210" s="76" t="s">
        <v>613</v>
      </c>
      <c r="C210" s="76" t="s">
        <v>363</v>
      </c>
      <c r="D210" s="76" t="s">
        <v>590</v>
      </c>
      <c r="E210" s="77">
        <v>2</v>
      </c>
      <c r="F210" s="103">
        <v>43800</v>
      </c>
      <c r="H210" s="78">
        <v>82100</v>
      </c>
      <c r="J210" s="100">
        <f>IF($F210&lt;DATE(Assumptions!$B$7,1,1),1,IF(YEAR($F210)&gt;Assumptions!$B$7,13,MONTH($F210)))</f>
        <v>1</v>
      </c>
      <c r="K210" s="100">
        <f>IF(OR($G210="",$G210&gt;Assumptions!$B$6),Assumptions!$B$8,IF($G210&lt;DATE(Assumptions!$B$7,1,1),0,MONTH($G210)))</f>
        <v>8</v>
      </c>
      <c r="L210" s="113">
        <f t="shared" si="9"/>
        <v>8</v>
      </c>
      <c r="M210" s="82">
        <f t="shared" si="10"/>
        <v>54733.333333333336</v>
      </c>
      <c r="N210" s="100">
        <f>IF(AND($F210&lt;=Assumptions!$B$6,OR($G210="",$G210&gt;Assumptions!$B$6)),1,0)</f>
        <v>1</v>
      </c>
      <c r="O210" s="82">
        <f t="shared" si="11"/>
        <v>82100</v>
      </c>
    </row>
    <row r="211" spans="1:15" x14ac:dyDescent="0.25">
      <c r="A211" s="76" t="s">
        <v>1242</v>
      </c>
      <c r="B211" s="76" t="s">
        <v>614</v>
      </c>
      <c r="C211" s="76" t="s">
        <v>363</v>
      </c>
      <c r="D211" s="76" t="s">
        <v>592</v>
      </c>
      <c r="E211" s="77">
        <v>1</v>
      </c>
      <c r="F211" s="103">
        <v>44228</v>
      </c>
      <c r="H211" s="78">
        <v>63700</v>
      </c>
      <c r="J211" s="100">
        <f>IF($F211&lt;DATE(Assumptions!$B$7,1,1),1,IF(YEAR($F211)&gt;Assumptions!$B$7,13,MONTH($F211)))</f>
        <v>1</v>
      </c>
      <c r="K211" s="100">
        <f>IF(OR($G211="",$G211&gt;Assumptions!$B$6),Assumptions!$B$8,IF($G211&lt;DATE(Assumptions!$B$7,1,1),0,MONTH($G211)))</f>
        <v>8</v>
      </c>
      <c r="L211" s="113">
        <f t="shared" si="9"/>
        <v>8</v>
      </c>
      <c r="M211" s="82">
        <f t="shared" si="10"/>
        <v>42466.666666666664</v>
      </c>
      <c r="N211" s="100">
        <f>IF(AND($F211&lt;=Assumptions!$B$6,OR($G211="",$G211&gt;Assumptions!$B$6)),1,0)</f>
        <v>1</v>
      </c>
      <c r="O211" s="82">
        <f t="shared" si="11"/>
        <v>63700</v>
      </c>
    </row>
    <row r="212" spans="1:15" x14ac:dyDescent="0.25">
      <c r="A212" s="76" t="s">
        <v>1243</v>
      </c>
      <c r="B212" s="76" t="s">
        <v>615</v>
      </c>
      <c r="C212" s="76" t="s">
        <v>363</v>
      </c>
      <c r="D212" s="76" t="s">
        <v>592</v>
      </c>
      <c r="E212" s="77">
        <v>1</v>
      </c>
      <c r="F212" s="103">
        <v>45200</v>
      </c>
      <c r="H212" s="78">
        <v>55900</v>
      </c>
      <c r="J212" s="100">
        <f>IF($F212&lt;DATE(Assumptions!$B$7,1,1),1,IF(YEAR($F212)&gt;Assumptions!$B$7,13,MONTH($F212)))</f>
        <v>1</v>
      </c>
      <c r="K212" s="100">
        <f>IF(OR($G212="",$G212&gt;Assumptions!$B$6),Assumptions!$B$8,IF($G212&lt;DATE(Assumptions!$B$7,1,1),0,MONTH($G212)))</f>
        <v>8</v>
      </c>
      <c r="L212" s="113">
        <f t="shared" si="9"/>
        <v>8</v>
      </c>
      <c r="M212" s="82">
        <f t="shared" si="10"/>
        <v>37266.666666666664</v>
      </c>
      <c r="N212" s="100">
        <f>IF(AND($F212&lt;=Assumptions!$B$6,OR($G212="",$G212&gt;Assumptions!$B$6)),1,0)</f>
        <v>1</v>
      </c>
      <c r="O212" s="82">
        <f t="shared" si="11"/>
        <v>55900</v>
      </c>
    </row>
    <row r="213" spans="1:15" x14ac:dyDescent="0.25">
      <c r="A213" s="76" t="s">
        <v>1244</v>
      </c>
      <c r="B213" s="76" t="s">
        <v>616</v>
      </c>
      <c r="C213" s="76" t="s">
        <v>363</v>
      </c>
      <c r="D213" s="76" t="s">
        <v>590</v>
      </c>
      <c r="E213" s="77">
        <v>2</v>
      </c>
      <c r="F213" s="103">
        <v>42583</v>
      </c>
      <c r="H213" s="78">
        <v>82500</v>
      </c>
      <c r="J213" s="100">
        <f>IF($F213&lt;DATE(Assumptions!$B$7,1,1),1,IF(YEAR($F213)&gt;Assumptions!$B$7,13,MONTH($F213)))</f>
        <v>1</v>
      </c>
      <c r="K213" s="100">
        <f>IF(OR($G213="",$G213&gt;Assumptions!$B$6),Assumptions!$B$8,IF($G213&lt;DATE(Assumptions!$B$7,1,1),0,MONTH($G213)))</f>
        <v>8</v>
      </c>
      <c r="L213" s="113">
        <f t="shared" si="9"/>
        <v>8</v>
      </c>
      <c r="M213" s="82">
        <f t="shared" si="10"/>
        <v>55000</v>
      </c>
      <c r="N213" s="100">
        <f>IF(AND($F213&lt;=Assumptions!$B$6,OR($G213="",$G213&gt;Assumptions!$B$6)),1,0)</f>
        <v>1</v>
      </c>
      <c r="O213" s="82">
        <f t="shared" si="11"/>
        <v>82500</v>
      </c>
    </row>
    <row r="214" spans="1:15" x14ac:dyDescent="0.25">
      <c r="A214" s="76" t="s">
        <v>1245</v>
      </c>
      <c r="B214" s="76" t="s">
        <v>617</v>
      </c>
      <c r="C214" s="76" t="s">
        <v>363</v>
      </c>
      <c r="D214" s="76" t="s">
        <v>590</v>
      </c>
      <c r="E214" s="77">
        <v>2</v>
      </c>
      <c r="F214" s="103">
        <v>43466</v>
      </c>
      <c r="H214" s="78">
        <v>76300</v>
      </c>
      <c r="J214" s="100">
        <f>IF($F214&lt;DATE(Assumptions!$B$7,1,1),1,IF(YEAR($F214)&gt;Assumptions!$B$7,13,MONTH($F214)))</f>
        <v>1</v>
      </c>
      <c r="K214" s="100">
        <f>IF(OR($G214="",$G214&gt;Assumptions!$B$6),Assumptions!$B$8,IF($G214&lt;DATE(Assumptions!$B$7,1,1),0,MONTH($G214)))</f>
        <v>8</v>
      </c>
      <c r="L214" s="113">
        <f t="shared" si="9"/>
        <v>8</v>
      </c>
      <c r="M214" s="82">
        <f t="shared" si="10"/>
        <v>50866.666666666664</v>
      </c>
      <c r="N214" s="100">
        <f>IF(AND($F214&lt;=Assumptions!$B$6,OR($G214="",$G214&gt;Assumptions!$B$6)),1,0)</f>
        <v>1</v>
      </c>
      <c r="O214" s="82">
        <f t="shared" si="11"/>
        <v>76300</v>
      </c>
    </row>
    <row r="215" spans="1:15" x14ac:dyDescent="0.25">
      <c r="A215" s="76" t="s">
        <v>1246</v>
      </c>
      <c r="B215" s="76" t="s">
        <v>618</v>
      </c>
      <c r="C215" s="76" t="s">
        <v>363</v>
      </c>
      <c r="D215" s="76" t="s">
        <v>590</v>
      </c>
      <c r="E215" s="77">
        <v>2</v>
      </c>
      <c r="F215" s="103">
        <v>42552</v>
      </c>
      <c r="H215" s="78">
        <v>86000</v>
      </c>
      <c r="J215" s="100">
        <f>IF($F215&lt;DATE(Assumptions!$B$7,1,1),1,IF(YEAR($F215)&gt;Assumptions!$B$7,13,MONTH($F215)))</f>
        <v>1</v>
      </c>
      <c r="K215" s="100">
        <f>IF(OR($G215="",$G215&gt;Assumptions!$B$6),Assumptions!$B$8,IF($G215&lt;DATE(Assumptions!$B$7,1,1),0,MONTH($G215)))</f>
        <v>8</v>
      </c>
      <c r="L215" s="113">
        <f t="shared" si="9"/>
        <v>8</v>
      </c>
      <c r="M215" s="82">
        <f t="shared" si="10"/>
        <v>57333.333333333336</v>
      </c>
      <c r="N215" s="100">
        <f>IF(AND($F215&lt;=Assumptions!$B$6,OR($G215="",$G215&gt;Assumptions!$B$6)),1,0)</f>
        <v>1</v>
      </c>
      <c r="O215" s="82">
        <f t="shared" si="11"/>
        <v>86000</v>
      </c>
    </row>
    <row r="216" spans="1:15" x14ac:dyDescent="0.25">
      <c r="A216" s="76" t="s">
        <v>1247</v>
      </c>
      <c r="B216" s="76" t="s">
        <v>619</v>
      </c>
      <c r="C216" s="76" t="s">
        <v>363</v>
      </c>
      <c r="D216" s="76" t="s">
        <v>592</v>
      </c>
      <c r="E216" s="77">
        <v>1</v>
      </c>
      <c r="F216" s="103">
        <v>43191</v>
      </c>
      <c r="H216" s="78">
        <v>54700</v>
      </c>
      <c r="J216" s="100">
        <f>IF($F216&lt;DATE(Assumptions!$B$7,1,1),1,IF(YEAR($F216)&gt;Assumptions!$B$7,13,MONTH($F216)))</f>
        <v>1</v>
      </c>
      <c r="K216" s="100">
        <f>IF(OR($G216="",$G216&gt;Assumptions!$B$6),Assumptions!$B$8,IF($G216&lt;DATE(Assumptions!$B$7,1,1),0,MONTH($G216)))</f>
        <v>8</v>
      </c>
      <c r="L216" s="113">
        <f t="shared" si="9"/>
        <v>8</v>
      </c>
      <c r="M216" s="82">
        <f t="shared" si="10"/>
        <v>36466.666666666664</v>
      </c>
      <c r="N216" s="100">
        <f>IF(AND($F216&lt;=Assumptions!$B$6,OR($G216="",$G216&gt;Assumptions!$B$6)),1,0)</f>
        <v>1</v>
      </c>
      <c r="O216" s="82">
        <f t="shared" si="11"/>
        <v>54700</v>
      </c>
    </row>
    <row r="217" spans="1:15" x14ac:dyDescent="0.25">
      <c r="A217" s="76" t="s">
        <v>1248</v>
      </c>
      <c r="B217" s="76" t="s">
        <v>620</v>
      </c>
      <c r="C217" s="76" t="s">
        <v>363</v>
      </c>
      <c r="D217" s="76" t="s">
        <v>601</v>
      </c>
      <c r="E217" s="77">
        <v>3</v>
      </c>
      <c r="F217" s="103">
        <v>43831</v>
      </c>
      <c r="H217" s="78">
        <v>133300</v>
      </c>
      <c r="J217" s="100">
        <f>IF($F217&lt;DATE(Assumptions!$B$7,1,1),1,IF(YEAR($F217)&gt;Assumptions!$B$7,13,MONTH($F217)))</f>
        <v>1</v>
      </c>
      <c r="K217" s="100">
        <f>IF(OR($G217="",$G217&gt;Assumptions!$B$6),Assumptions!$B$8,IF($G217&lt;DATE(Assumptions!$B$7,1,1),0,MONTH($G217)))</f>
        <v>8</v>
      </c>
      <c r="L217" s="113">
        <f t="shared" si="9"/>
        <v>8</v>
      </c>
      <c r="M217" s="82">
        <f t="shared" si="10"/>
        <v>88866.666666666672</v>
      </c>
      <c r="N217" s="100">
        <f>IF(AND($F217&lt;=Assumptions!$B$6,OR($G217="",$G217&gt;Assumptions!$B$6)),1,0)</f>
        <v>1</v>
      </c>
      <c r="O217" s="82">
        <f t="shared" si="11"/>
        <v>133300</v>
      </c>
    </row>
    <row r="218" spans="1:15" x14ac:dyDescent="0.25">
      <c r="A218" s="76" t="s">
        <v>1249</v>
      </c>
      <c r="B218" s="76" t="s">
        <v>621</v>
      </c>
      <c r="C218" s="76" t="s">
        <v>363</v>
      </c>
      <c r="D218" s="76" t="s">
        <v>590</v>
      </c>
      <c r="E218" s="77">
        <v>2</v>
      </c>
      <c r="F218" s="103">
        <v>43739</v>
      </c>
      <c r="H218" s="78">
        <v>79700</v>
      </c>
      <c r="J218" s="100">
        <f>IF($F218&lt;DATE(Assumptions!$B$7,1,1),1,IF(YEAR($F218)&gt;Assumptions!$B$7,13,MONTH($F218)))</f>
        <v>1</v>
      </c>
      <c r="K218" s="100">
        <f>IF(OR($G218="",$G218&gt;Assumptions!$B$6),Assumptions!$B$8,IF($G218&lt;DATE(Assumptions!$B$7,1,1),0,MONTH($G218)))</f>
        <v>8</v>
      </c>
      <c r="L218" s="113">
        <f t="shared" si="9"/>
        <v>8</v>
      </c>
      <c r="M218" s="82">
        <f t="shared" si="10"/>
        <v>53133.333333333336</v>
      </c>
      <c r="N218" s="100">
        <f>IF(AND($F218&lt;=Assumptions!$B$6,OR($G218="",$G218&gt;Assumptions!$B$6)),1,0)</f>
        <v>1</v>
      </c>
      <c r="O218" s="82">
        <f t="shared" si="11"/>
        <v>79700</v>
      </c>
    </row>
    <row r="219" spans="1:15" x14ac:dyDescent="0.25">
      <c r="A219" s="76" t="s">
        <v>1250</v>
      </c>
      <c r="B219" s="76" t="s">
        <v>622</v>
      </c>
      <c r="C219" s="76" t="s">
        <v>363</v>
      </c>
      <c r="D219" s="76" t="s">
        <v>590</v>
      </c>
      <c r="E219" s="77">
        <v>2</v>
      </c>
      <c r="F219" s="103">
        <v>44166</v>
      </c>
      <c r="H219" s="78">
        <v>72000</v>
      </c>
      <c r="J219" s="100">
        <f>IF($F219&lt;DATE(Assumptions!$B$7,1,1),1,IF(YEAR($F219)&gt;Assumptions!$B$7,13,MONTH($F219)))</f>
        <v>1</v>
      </c>
      <c r="K219" s="100">
        <f>IF(OR($G219="",$G219&gt;Assumptions!$B$6),Assumptions!$B$8,IF($G219&lt;DATE(Assumptions!$B$7,1,1),0,MONTH($G219)))</f>
        <v>8</v>
      </c>
      <c r="L219" s="113">
        <f t="shared" si="9"/>
        <v>8</v>
      </c>
      <c r="M219" s="82">
        <f t="shared" si="10"/>
        <v>48000</v>
      </c>
      <c r="N219" s="100">
        <f>IF(AND($F219&lt;=Assumptions!$B$6,OR($G219="",$G219&gt;Assumptions!$B$6)),1,0)</f>
        <v>1</v>
      </c>
      <c r="O219" s="82">
        <f t="shared" si="11"/>
        <v>72000</v>
      </c>
    </row>
    <row r="220" spans="1:15" x14ac:dyDescent="0.25">
      <c r="A220" s="76" t="s">
        <v>1251</v>
      </c>
      <c r="B220" s="76" t="s">
        <v>625</v>
      </c>
      <c r="C220" s="76" t="s">
        <v>354</v>
      </c>
      <c r="D220" s="76" t="s">
        <v>626</v>
      </c>
      <c r="E220" s="77">
        <v>1</v>
      </c>
      <c r="F220" s="103">
        <v>45870</v>
      </c>
      <c r="H220" s="78">
        <v>68400</v>
      </c>
      <c r="J220" s="100">
        <f>IF($F220&lt;DATE(Assumptions!$B$7,1,1),1,IF(YEAR($F220)&gt;Assumptions!$B$7,13,MONTH($F220)))</f>
        <v>1</v>
      </c>
      <c r="K220" s="100">
        <f>IF(OR($G220="",$G220&gt;Assumptions!$B$6),Assumptions!$B$8,IF($G220&lt;DATE(Assumptions!$B$7,1,1),0,MONTH($G220)))</f>
        <v>8</v>
      </c>
      <c r="L220" s="113">
        <f t="shared" si="9"/>
        <v>8</v>
      </c>
      <c r="M220" s="82">
        <f t="shared" si="10"/>
        <v>45600</v>
      </c>
      <c r="N220" s="100">
        <f>IF(AND($F220&lt;=Assumptions!$B$6,OR($G220="",$G220&gt;Assumptions!$B$6)),1,0)</f>
        <v>1</v>
      </c>
      <c r="O220" s="82">
        <f t="shared" si="11"/>
        <v>68400</v>
      </c>
    </row>
    <row r="221" spans="1:15" x14ac:dyDescent="0.25">
      <c r="A221" s="76" t="s">
        <v>1252</v>
      </c>
      <c r="B221" s="76" t="s">
        <v>627</v>
      </c>
      <c r="C221" s="76" t="s">
        <v>354</v>
      </c>
      <c r="D221" s="76" t="s">
        <v>628</v>
      </c>
      <c r="E221" s="77">
        <v>2</v>
      </c>
      <c r="F221" s="103">
        <v>42248</v>
      </c>
      <c r="H221" s="78">
        <v>80900</v>
      </c>
      <c r="J221" s="100">
        <f>IF($F221&lt;DATE(Assumptions!$B$7,1,1),1,IF(YEAR($F221)&gt;Assumptions!$B$7,13,MONTH($F221)))</f>
        <v>1</v>
      </c>
      <c r="K221" s="100">
        <f>IF(OR($G221="",$G221&gt;Assumptions!$B$6),Assumptions!$B$8,IF($G221&lt;DATE(Assumptions!$B$7,1,1),0,MONTH($G221)))</f>
        <v>8</v>
      </c>
      <c r="L221" s="113">
        <f t="shared" si="9"/>
        <v>8</v>
      </c>
      <c r="M221" s="82">
        <f t="shared" si="10"/>
        <v>53933.333333333336</v>
      </c>
      <c r="N221" s="100">
        <f>IF(AND($F221&lt;=Assumptions!$B$6,OR($G221="",$G221&gt;Assumptions!$B$6)),1,0)</f>
        <v>1</v>
      </c>
      <c r="O221" s="82">
        <f t="shared" si="11"/>
        <v>80900</v>
      </c>
    </row>
    <row r="222" spans="1:15" x14ac:dyDescent="0.25">
      <c r="A222" s="76" t="s">
        <v>1253</v>
      </c>
      <c r="B222" s="76" t="s">
        <v>629</v>
      </c>
      <c r="C222" s="76" t="s">
        <v>354</v>
      </c>
      <c r="D222" s="76" t="s">
        <v>626</v>
      </c>
      <c r="E222" s="77">
        <v>1</v>
      </c>
      <c r="F222" s="103">
        <v>42705</v>
      </c>
      <c r="H222" s="78">
        <v>56700</v>
      </c>
      <c r="J222" s="100">
        <f>IF($F222&lt;DATE(Assumptions!$B$7,1,1),1,IF(YEAR($F222)&gt;Assumptions!$B$7,13,MONTH($F222)))</f>
        <v>1</v>
      </c>
      <c r="K222" s="100">
        <f>IF(OR($G222="",$G222&gt;Assumptions!$B$6),Assumptions!$B$8,IF($G222&lt;DATE(Assumptions!$B$7,1,1),0,MONTH($G222)))</f>
        <v>8</v>
      </c>
      <c r="L222" s="113">
        <f t="shared" si="9"/>
        <v>8</v>
      </c>
      <c r="M222" s="82">
        <f t="shared" si="10"/>
        <v>37800</v>
      </c>
      <c r="N222" s="100">
        <f>IF(AND($F222&lt;=Assumptions!$B$6,OR($G222="",$G222&gt;Assumptions!$B$6)),1,0)</f>
        <v>1</v>
      </c>
      <c r="O222" s="82">
        <f t="shared" si="11"/>
        <v>56700</v>
      </c>
    </row>
    <row r="223" spans="1:15" x14ac:dyDescent="0.25">
      <c r="A223" s="76" t="s">
        <v>1254</v>
      </c>
      <c r="B223" s="76" t="s">
        <v>630</v>
      </c>
      <c r="C223" s="76" t="s">
        <v>354</v>
      </c>
      <c r="D223" s="76" t="s">
        <v>626</v>
      </c>
      <c r="E223" s="77">
        <v>1</v>
      </c>
      <c r="F223" s="103">
        <v>41883</v>
      </c>
      <c r="H223" s="78">
        <v>58000</v>
      </c>
      <c r="J223" s="100">
        <f>IF($F223&lt;DATE(Assumptions!$B$7,1,1),1,IF(YEAR($F223)&gt;Assumptions!$B$7,13,MONTH($F223)))</f>
        <v>1</v>
      </c>
      <c r="K223" s="100">
        <f>IF(OR($G223="",$G223&gt;Assumptions!$B$6),Assumptions!$B$8,IF($G223&lt;DATE(Assumptions!$B$7,1,1),0,MONTH($G223)))</f>
        <v>8</v>
      </c>
      <c r="L223" s="113">
        <f t="shared" si="9"/>
        <v>8</v>
      </c>
      <c r="M223" s="82">
        <f t="shared" si="10"/>
        <v>38666.666666666664</v>
      </c>
      <c r="N223" s="100">
        <f>IF(AND($F223&lt;=Assumptions!$B$6,OR($G223="",$G223&gt;Assumptions!$B$6)),1,0)</f>
        <v>1</v>
      </c>
      <c r="O223" s="82">
        <f t="shared" si="11"/>
        <v>58000</v>
      </c>
    </row>
    <row r="224" spans="1:15" x14ac:dyDescent="0.25">
      <c r="A224" s="76" t="s">
        <v>1255</v>
      </c>
      <c r="B224" s="76" t="s">
        <v>631</v>
      </c>
      <c r="C224" s="76" t="s">
        <v>354</v>
      </c>
      <c r="D224" s="76" t="s">
        <v>628</v>
      </c>
      <c r="E224" s="77">
        <v>2</v>
      </c>
      <c r="F224" s="103">
        <v>45413</v>
      </c>
      <c r="H224" s="78">
        <v>98300</v>
      </c>
      <c r="J224" s="100">
        <f>IF($F224&lt;DATE(Assumptions!$B$7,1,1),1,IF(YEAR($F224)&gt;Assumptions!$B$7,13,MONTH($F224)))</f>
        <v>1</v>
      </c>
      <c r="K224" s="100">
        <f>IF(OR($G224="",$G224&gt;Assumptions!$B$6),Assumptions!$B$8,IF($G224&lt;DATE(Assumptions!$B$7,1,1),0,MONTH($G224)))</f>
        <v>8</v>
      </c>
      <c r="L224" s="113">
        <f t="shared" si="9"/>
        <v>8</v>
      </c>
      <c r="M224" s="82">
        <f t="shared" si="10"/>
        <v>65533.333333333336</v>
      </c>
      <c r="N224" s="100">
        <f>IF(AND($F224&lt;=Assumptions!$B$6,OR($G224="",$G224&gt;Assumptions!$B$6)),1,0)</f>
        <v>1</v>
      </c>
      <c r="O224" s="82">
        <f t="shared" si="11"/>
        <v>98300</v>
      </c>
    </row>
    <row r="225" spans="1:15" x14ac:dyDescent="0.25">
      <c r="A225" s="76" t="s">
        <v>1256</v>
      </c>
      <c r="B225" s="76" t="s">
        <v>632</v>
      </c>
      <c r="C225" s="76" t="s">
        <v>354</v>
      </c>
      <c r="D225" s="76" t="s">
        <v>633</v>
      </c>
      <c r="E225" s="77">
        <v>3</v>
      </c>
      <c r="F225" s="103">
        <v>44440</v>
      </c>
      <c r="H225" s="78">
        <v>101000</v>
      </c>
      <c r="J225" s="100">
        <f>IF($F225&lt;DATE(Assumptions!$B$7,1,1),1,IF(YEAR($F225)&gt;Assumptions!$B$7,13,MONTH($F225)))</f>
        <v>1</v>
      </c>
      <c r="K225" s="100">
        <f>IF(OR($G225="",$G225&gt;Assumptions!$B$6),Assumptions!$B$8,IF($G225&lt;DATE(Assumptions!$B$7,1,1),0,MONTH($G225)))</f>
        <v>8</v>
      </c>
      <c r="L225" s="113">
        <f t="shared" si="9"/>
        <v>8</v>
      </c>
      <c r="M225" s="82">
        <f t="shared" si="10"/>
        <v>67333.333333333328</v>
      </c>
      <c r="N225" s="100">
        <f>IF(AND($F225&lt;=Assumptions!$B$6,OR($G225="",$G225&gt;Assumptions!$B$6)),1,0)</f>
        <v>1</v>
      </c>
      <c r="O225" s="82">
        <f t="shared" si="11"/>
        <v>101000</v>
      </c>
    </row>
    <row r="226" spans="1:15" x14ac:dyDescent="0.25">
      <c r="A226" s="76" t="s">
        <v>1257</v>
      </c>
      <c r="B226" s="76" t="s">
        <v>634</v>
      </c>
      <c r="C226" s="76" t="s">
        <v>354</v>
      </c>
      <c r="D226" s="76" t="s">
        <v>628</v>
      </c>
      <c r="E226" s="77">
        <v>2</v>
      </c>
      <c r="F226" s="103">
        <v>42767</v>
      </c>
      <c r="H226" s="78">
        <v>97500</v>
      </c>
      <c r="J226" s="100">
        <f>IF($F226&lt;DATE(Assumptions!$B$7,1,1),1,IF(YEAR($F226)&gt;Assumptions!$B$7,13,MONTH($F226)))</f>
        <v>1</v>
      </c>
      <c r="K226" s="100">
        <f>IF(OR($G226="",$G226&gt;Assumptions!$B$6),Assumptions!$B$8,IF($G226&lt;DATE(Assumptions!$B$7,1,1),0,MONTH($G226)))</f>
        <v>8</v>
      </c>
      <c r="L226" s="113">
        <f t="shared" si="9"/>
        <v>8</v>
      </c>
      <c r="M226" s="82">
        <f t="shared" si="10"/>
        <v>65000</v>
      </c>
      <c r="N226" s="100">
        <f>IF(AND($F226&lt;=Assumptions!$B$6,OR($G226="",$G226&gt;Assumptions!$B$6)),1,0)</f>
        <v>1</v>
      </c>
      <c r="O226" s="82">
        <f t="shared" si="11"/>
        <v>97500</v>
      </c>
    </row>
    <row r="227" spans="1:15" x14ac:dyDescent="0.25">
      <c r="A227" s="76" t="s">
        <v>1258</v>
      </c>
      <c r="B227" s="76" t="s">
        <v>635</v>
      </c>
      <c r="C227" s="76" t="s">
        <v>354</v>
      </c>
      <c r="D227" s="76" t="s">
        <v>628</v>
      </c>
      <c r="E227" s="77">
        <v>2</v>
      </c>
      <c r="F227" s="103">
        <v>43191</v>
      </c>
      <c r="H227" s="78">
        <v>92600</v>
      </c>
      <c r="J227" s="100">
        <f>IF($F227&lt;DATE(Assumptions!$B$7,1,1),1,IF(YEAR($F227)&gt;Assumptions!$B$7,13,MONTH($F227)))</f>
        <v>1</v>
      </c>
      <c r="K227" s="100">
        <f>IF(OR($G227="",$G227&gt;Assumptions!$B$6),Assumptions!$B$8,IF($G227&lt;DATE(Assumptions!$B$7,1,1),0,MONTH($G227)))</f>
        <v>8</v>
      </c>
      <c r="L227" s="113">
        <f t="shared" si="9"/>
        <v>8</v>
      </c>
      <c r="M227" s="82">
        <f t="shared" si="10"/>
        <v>61733.333333333336</v>
      </c>
      <c r="N227" s="100">
        <f>IF(AND($F227&lt;=Assumptions!$B$6,OR($G227="",$G227&gt;Assumptions!$B$6)),1,0)</f>
        <v>1</v>
      </c>
      <c r="O227" s="82">
        <f t="shared" si="11"/>
        <v>92600</v>
      </c>
    </row>
    <row r="228" spans="1:15" x14ac:dyDescent="0.25">
      <c r="A228" s="76" t="s">
        <v>1259</v>
      </c>
      <c r="B228" s="76" t="s">
        <v>636</v>
      </c>
      <c r="C228" s="76" t="s">
        <v>354</v>
      </c>
      <c r="D228" s="76" t="s">
        <v>628</v>
      </c>
      <c r="E228" s="77">
        <v>2</v>
      </c>
      <c r="F228" s="103">
        <v>45170</v>
      </c>
      <c r="G228" s="103">
        <v>46173</v>
      </c>
      <c r="H228" s="78">
        <v>87000</v>
      </c>
      <c r="J228" s="100">
        <f>IF($F228&lt;DATE(Assumptions!$B$7,1,1),1,IF(YEAR($F228)&gt;Assumptions!$B$7,13,MONTH($F228)))</f>
        <v>1</v>
      </c>
      <c r="K228" s="100">
        <f>IF(OR($G228="",$G228&gt;Assumptions!$B$6),Assumptions!$B$8,IF($G228&lt;DATE(Assumptions!$B$7,1,1),0,MONTH($G228)))</f>
        <v>5</v>
      </c>
      <c r="L228" s="113">
        <f t="shared" si="9"/>
        <v>5</v>
      </c>
      <c r="M228" s="82">
        <f t="shared" si="10"/>
        <v>36250</v>
      </c>
      <c r="N228" s="100">
        <f>IF(AND($F228&lt;=Assumptions!$B$6,OR($G228="",$G228&gt;Assumptions!$B$6)),1,0)</f>
        <v>0</v>
      </c>
      <c r="O228" s="82">
        <f t="shared" si="11"/>
        <v>0</v>
      </c>
    </row>
    <row r="229" spans="1:15" x14ac:dyDescent="0.25">
      <c r="A229" s="76" t="s">
        <v>1260</v>
      </c>
      <c r="B229" s="76" t="s">
        <v>636</v>
      </c>
      <c r="C229" s="76" t="s">
        <v>354</v>
      </c>
      <c r="D229" s="76" t="s">
        <v>628</v>
      </c>
      <c r="E229" s="77">
        <v>2</v>
      </c>
      <c r="F229" s="103">
        <v>46204</v>
      </c>
      <c r="H229" s="78">
        <v>91500</v>
      </c>
      <c r="J229" s="100">
        <f>IF($F229&lt;DATE(Assumptions!$B$7,1,1),1,IF(YEAR($F229)&gt;Assumptions!$B$7,13,MONTH($F229)))</f>
        <v>7</v>
      </c>
      <c r="K229" s="100">
        <f>IF(OR($G229="",$G229&gt;Assumptions!$B$6),Assumptions!$B$8,IF($G229&lt;DATE(Assumptions!$B$7,1,1),0,MONTH($G229)))</f>
        <v>8</v>
      </c>
      <c r="L229" s="113">
        <f t="shared" si="9"/>
        <v>2</v>
      </c>
      <c r="M229" s="82">
        <f t="shared" si="10"/>
        <v>15250</v>
      </c>
      <c r="N229" s="100">
        <f>IF(AND($F229&lt;=Assumptions!$B$6,OR($G229="",$G229&gt;Assumptions!$B$6)),1,0)</f>
        <v>1</v>
      </c>
      <c r="O229" s="82">
        <f t="shared" si="11"/>
        <v>91500</v>
      </c>
    </row>
    <row r="230" spans="1:15" x14ac:dyDescent="0.25">
      <c r="A230" s="76" t="s">
        <v>1261</v>
      </c>
      <c r="B230" s="76" t="s">
        <v>637</v>
      </c>
      <c r="C230" s="76" t="s">
        <v>354</v>
      </c>
      <c r="D230" s="76" t="s">
        <v>628</v>
      </c>
      <c r="E230" s="77">
        <v>2</v>
      </c>
      <c r="F230" s="103">
        <v>41791</v>
      </c>
      <c r="H230" s="78">
        <v>94600</v>
      </c>
      <c r="J230" s="100">
        <f>IF($F230&lt;DATE(Assumptions!$B$7,1,1),1,IF(YEAR($F230)&gt;Assumptions!$B$7,13,MONTH($F230)))</f>
        <v>1</v>
      </c>
      <c r="K230" s="100">
        <f>IF(OR($G230="",$G230&gt;Assumptions!$B$6),Assumptions!$B$8,IF($G230&lt;DATE(Assumptions!$B$7,1,1),0,MONTH($G230)))</f>
        <v>8</v>
      </c>
      <c r="L230" s="113">
        <f t="shared" si="9"/>
        <v>8</v>
      </c>
      <c r="M230" s="82">
        <f t="shared" si="10"/>
        <v>63066.666666666664</v>
      </c>
      <c r="N230" s="100">
        <f>IF(AND($F230&lt;=Assumptions!$B$6,OR($G230="",$G230&gt;Assumptions!$B$6)),1,0)</f>
        <v>1</v>
      </c>
      <c r="O230" s="82">
        <f t="shared" si="11"/>
        <v>94600</v>
      </c>
    </row>
    <row r="231" spans="1:15" x14ac:dyDescent="0.25">
      <c r="A231" s="76" t="s">
        <v>1262</v>
      </c>
      <c r="B231" s="76" t="s">
        <v>638</v>
      </c>
      <c r="C231" s="76" t="s">
        <v>354</v>
      </c>
      <c r="D231" s="76" t="s">
        <v>626</v>
      </c>
      <c r="E231" s="77">
        <v>1</v>
      </c>
      <c r="F231" s="103">
        <v>45139</v>
      </c>
      <c r="H231" s="78">
        <v>60600</v>
      </c>
      <c r="J231" s="100">
        <f>IF($F231&lt;DATE(Assumptions!$B$7,1,1),1,IF(YEAR($F231)&gt;Assumptions!$B$7,13,MONTH($F231)))</f>
        <v>1</v>
      </c>
      <c r="K231" s="100">
        <f>IF(OR($G231="",$G231&gt;Assumptions!$B$6),Assumptions!$B$8,IF($G231&lt;DATE(Assumptions!$B$7,1,1),0,MONTH($G231)))</f>
        <v>8</v>
      </c>
      <c r="L231" s="113">
        <f t="shared" si="9"/>
        <v>8</v>
      </c>
      <c r="M231" s="82">
        <f t="shared" si="10"/>
        <v>40400</v>
      </c>
      <c r="N231" s="100">
        <f>IF(AND($F231&lt;=Assumptions!$B$6,OR($G231="",$G231&gt;Assumptions!$B$6)),1,0)</f>
        <v>1</v>
      </c>
      <c r="O231" s="82">
        <f t="shared" si="11"/>
        <v>60600</v>
      </c>
    </row>
    <row r="232" spans="1:15" x14ac:dyDescent="0.25">
      <c r="A232" s="76" t="s">
        <v>1263</v>
      </c>
      <c r="B232" s="76" t="s">
        <v>639</v>
      </c>
      <c r="C232" s="76" t="s">
        <v>354</v>
      </c>
      <c r="D232" s="76" t="s">
        <v>628</v>
      </c>
      <c r="E232" s="77">
        <v>2</v>
      </c>
      <c r="F232" s="103">
        <v>44682</v>
      </c>
      <c r="H232" s="78">
        <v>91300</v>
      </c>
      <c r="J232" s="100">
        <f>IF($F232&lt;DATE(Assumptions!$B$7,1,1),1,IF(YEAR($F232)&gt;Assumptions!$B$7,13,MONTH($F232)))</f>
        <v>1</v>
      </c>
      <c r="K232" s="100">
        <f>IF(OR($G232="",$G232&gt;Assumptions!$B$6),Assumptions!$B$8,IF($G232&lt;DATE(Assumptions!$B$7,1,1),0,MONTH($G232)))</f>
        <v>8</v>
      </c>
      <c r="L232" s="113">
        <f t="shared" si="9"/>
        <v>8</v>
      </c>
      <c r="M232" s="82">
        <f t="shared" si="10"/>
        <v>60866.666666666664</v>
      </c>
      <c r="N232" s="100">
        <f>IF(AND($F232&lt;=Assumptions!$B$6,OR($G232="",$G232&gt;Assumptions!$B$6)),1,0)</f>
        <v>1</v>
      </c>
      <c r="O232" s="82">
        <f t="shared" si="11"/>
        <v>91300</v>
      </c>
    </row>
    <row r="233" spans="1:15" x14ac:dyDescent="0.25">
      <c r="A233" s="76" t="s">
        <v>1264</v>
      </c>
      <c r="B233" s="76" t="s">
        <v>640</v>
      </c>
      <c r="C233" s="76" t="s">
        <v>354</v>
      </c>
      <c r="D233" s="76" t="s">
        <v>626</v>
      </c>
      <c r="E233" s="77">
        <v>1</v>
      </c>
      <c r="F233" s="103">
        <v>45748</v>
      </c>
      <c r="H233" s="78">
        <v>63700</v>
      </c>
      <c r="J233" s="100">
        <f>IF($F233&lt;DATE(Assumptions!$B$7,1,1),1,IF(YEAR($F233)&gt;Assumptions!$B$7,13,MONTH($F233)))</f>
        <v>1</v>
      </c>
      <c r="K233" s="100">
        <f>IF(OR($G233="",$G233&gt;Assumptions!$B$6),Assumptions!$B$8,IF($G233&lt;DATE(Assumptions!$B$7,1,1),0,MONTH($G233)))</f>
        <v>8</v>
      </c>
      <c r="L233" s="113">
        <f t="shared" si="9"/>
        <v>8</v>
      </c>
      <c r="M233" s="82">
        <f t="shared" si="10"/>
        <v>42466.666666666664</v>
      </c>
      <c r="N233" s="100">
        <f>IF(AND($F233&lt;=Assumptions!$B$6,OR($G233="",$G233&gt;Assumptions!$B$6)),1,0)</f>
        <v>1</v>
      </c>
      <c r="O233" s="82">
        <f t="shared" si="11"/>
        <v>63700</v>
      </c>
    </row>
    <row r="234" spans="1:15" x14ac:dyDescent="0.25">
      <c r="A234" s="76" t="s">
        <v>1265</v>
      </c>
      <c r="B234" s="76" t="s">
        <v>641</v>
      </c>
      <c r="C234" s="76" t="s">
        <v>354</v>
      </c>
      <c r="D234" s="76" t="s">
        <v>626</v>
      </c>
      <c r="E234" s="77">
        <v>1</v>
      </c>
      <c r="F234" s="103">
        <v>42339</v>
      </c>
      <c r="H234" s="78">
        <v>54200</v>
      </c>
      <c r="J234" s="100">
        <f>IF($F234&lt;DATE(Assumptions!$B$7,1,1),1,IF(YEAR($F234)&gt;Assumptions!$B$7,13,MONTH($F234)))</f>
        <v>1</v>
      </c>
      <c r="K234" s="100">
        <f>IF(OR($G234="",$G234&gt;Assumptions!$B$6),Assumptions!$B$8,IF($G234&lt;DATE(Assumptions!$B$7,1,1),0,MONTH($G234)))</f>
        <v>8</v>
      </c>
      <c r="L234" s="113">
        <f t="shared" si="9"/>
        <v>8</v>
      </c>
      <c r="M234" s="82">
        <f t="shared" si="10"/>
        <v>36133.333333333336</v>
      </c>
      <c r="N234" s="100">
        <f>IF(AND($F234&lt;=Assumptions!$B$6,OR($G234="",$G234&gt;Assumptions!$B$6)),1,0)</f>
        <v>1</v>
      </c>
      <c r="O234" s="82">
        <f t="shared" si="11"/>
        <v>54200</v>
      </c>
    </row>
    <row r="235" spans="1:15" x14ac:dyDescent="0.25">
      <c r="A235" s="76" t="s">
        <v>1266</v>
      </c>
      <c r="B235" s="76" t="s">
        <v>642</v>
      </c>
      <c r="C235" s="76" t="s">
        <v>354</v>
      </c>
      <c r="D235" s="76" t="s">
        <v>626</v>
      </c>
      <c r="E235" s="77">
        <v>1</v>
      </c>
      <c r="F235" s="103">
        <v>44197</v>
      </c>
      <c r="H235" s="78">
        <v>57800</v>
      </c>
      <c r="J235" s="100">
        <f>IF($F235&lt;DATE(Assumptions!$B$7,1,1),1,IF(YEAR($F235)&gt;Assumptions!$B$7,13,MONTH($F235)))</f>
        <v>1</v>
      </c>
      <c r="K235" s="100">
        <f>IF(OR($G235="",$G235&gt;Assumptions!$B$6),Assumptions!$B$8,IF($G235&lt;DATE(Assumptions!$B$7,1,1),0,MONTH($G235)))</f>
        <v>8</v>
      </c>
      <c r="L235" s="113">
        <f t="shared" si="9"/>
        <v>8</v>
      </c>
      <c r="M235" s="82">
        <f t="shared" si="10"/>
        <v>38533.333333333336</v>
      </c>
      <c r="N235" s="100">
        <f>IF(AND($F235&lt;=Assumptions!$B$6,OR($G235="",$G235&gt;Assumptions!$B$6)),1,0)</f>
        <v>1</v>
      </c>
      <c r="O235" s="82">
        <f t="shared" si="11"/>
        <v>57800</v>
      </c>
    </row>
    <row r="236" spans="1:15" x14ac:dyDescent="0.25">
      <c r="A236" s="76" t="s">
        <v>1267</v>
      </c>
      <c r="B236" s="76" t="s">
        <v>643</v>
      </c>
      <c r="C236" s="76" t="s">
        <v>354</v>
      </c>
      <c r="D236" s="76" t="s">
        <v>633</v>
      </c>
      <c r="E236" s="77">
        <v>3</v>
      </c>
      <c r="F236" s="103">
        <v>44136</v>
      </c>
      <c r="H236" s="78">
        <v>130000</v>
      </c>
      <c r="J236" s="100">
        <f>IF($F236&lt;DATE(Assumptions!$B$7,1,1),1,IF(YEAR($F236)&gt;Assumptions!$B$7,13,MONTH($F236)))</f>
        <v>1</v>
      </c>
      <c r="K236" s="100">
        <f>IF(OR($G236="",$G236&gt;Assumptions!$B$6),Assumptions!$B$8,IF($G236&lt;DATE(Assumptions!$B$7,1,1),0,MONTH($G236)))</f>
        <v>8</v>
      </c>
      <c r="L236" s="113">
        <f t="shared" si="9"/>
        <v>8</v>
      </c>
      <c r="M236" s="82">
        <f t="shared" si="10"/>
        <v>86666.666666666672</v>
      </c>
      <c r="N236" s="100">
        <f>IF(AND($F236&lt;=Assumptions!$B$6,OR($G236="",$G236&gt;Assumptions!$B$6)),1,0)</f>
        <v>1</v>
      </c>
      <c r="O236" s="82">
        <f t="shared" si="11"/>
        <v>130000</v>
      </c>
    </row>
    <row r="237" spans="1:15" x14ac:dyDescent="0.25">
      <c r="A237" s="76" t="s">
        <v>1268</v>
      </c>
      <c r="B237" s="76" t="s">
        <v>644</v>
      </c>
      <c r="C237" s="76" t="s">
        <v>354</v>
      </c>
      <c r="D237" s="76" t="s">
        <v>626</v>
      </c>
      <c r="E237" s="77">
        <v>1</v>
      </c>
      <c r="F237" s="103">
        <v>42491</v>
      </c>
      <c r="H237" s="78">
        <v>57800</v>
      </c>
      <c r="J237" s="100">
        <f>IF($F237&lt;DATE(Assumptions!$B$7,1,1),1,IF(YEAR($F237)&gt;Assumptions!$B$7,13,MONTH($F237)))</f>
        <v>1</v>
      </c>
      <c r="K237" s="100">
        <f>IF(OR($G237="",$G237&gt;Assumptions!$B$6),Assumptions!$B$8,IF($G237&lt;DATE(Assumptions!$B$7,1,1),0,MONTH($G237)))</f>
        <v>8</v>
      </c>
      <c r="L237" s="113">
        <f t="shared" si="9"/>
        <v>8</v>
      </c>
      <c r="M237" s="82">
        <f t="shared" si="10"/>
        <v>38533.333333333336</v>
      </c>
      <c r="N237" s="100">
        <f>IF(AND($F237&lt;=Assumptions!$B$6,OR($G237="",$G237&gt;Assumptions!$B$6)),1,0)</f>
        <v>1</v>
      </c>
      <c r="O237" s="82">
        <f t="shared" si="11"/>
        <v>57800</v>
      </c>
    </row>
    <row r="238" spans="1:15" x14ac:dyDescent="0.25">
      <c r="A238" s="76" t="s">
        <v>1269</v>
      </c>
      <c r="B238" s="76" t="s">
        <v>645</v>
      </c>
      <c r="C238" s="76" t="s">
        <v>354</v>
      </c>
      <c r="D238" s="76" t="s">
        <v>628</v>
      </c>
      <c r="E238" s="77">
        <v>2</v>
      </c>
      <c r="F238" s="103">
        <v>43466</v>
      </c>
      <c r="H238" s="78">
        <v>79300</v>
      </c>
      <c r="J238" s="100">
        <f>IF($F238&lt;DATE(Assumptions!$B$7,1,1),1,IF(YEAR($F238)&gt;Assumptions!$B$7,13,MONTH($F238)))</f>
        <v>1</v>
      </c>
      <c r="K238" s="100">
        <f>IF(OR($G238="",$G238&gt;Assumptions!$B$6),Assumptions!$B$8,IF($G238&lt;DATE(Assumptions!$B$7,1,1),0,MONTH($G238)))</f>
        <v>8</v>
      </c>
      <c r="L238" s="113">
        <f t="shared" si="9"/>
        <v>8</v>
      </c>
      <c r="M238" s="82">
        <f t="shared" si="10"/>
        <v>52866.666666666664</v>
      </c>
      <c r="N238" s="100">
        <f>IF(AND($F238&lt;=Assumptions!$B$6,OR($G238="",$G238&gt;Assumptions!$B$6)),1,0)</f>
        <v>1</v>
      </c>
      <c r="O238" s="82">
        <f t="shared" si="11"/>
        <v>79300</v>
      </c>
    </row>
    <row r="239" spans="1:15" x14ac:dyDescent="0.25">
      <c r="A239" s="76" t="s">
        <v>1270</v>
      </c>
      <c r="B239" s="76" t="s">
        <v>646</v>
      </c>
      <c r="C239" s="76" t="s">
        <v>354</v>
      </c>
      <c r="D239" s="76" t="s">
        <v>626</v>
      </c>
      <c r="E239" s="77">
        <v>1</v>
      </c>
      <c r="F239" s="103">
        <v>42430</v>
      </c>
      <c r="H239" s="78">
        <v>63600</v>
      </c>
      <c r="J239" s="100">
        <f>IF($F239&lt;DATE(Assumptions!$B$7,1,1),1,IF(YEAR($F239)&gt;Assumptions!$B$7,13,MONTH($F239)))</f>
        <v>1</v>
      </c>
      <c r="K239" s="100">
        <f>IF(OR($G239="",$G239&gt;Assumptions!$B$6),Assumptions!$B$8,IF($G239&lt;DATE(Assumptions!$B$7,1,1),0,MONTH($G239)))</f>
        <v>8</v>
      </c>
      <c r="L239" s="113">
        <f t="shared" si="9"/>
        <v>8</v>
      </c>
      <c r="M239" s="82">
        <f t="shared" si="10"/>
        <v>42400</v>
      </c>
      <c r="N239" s="100">
        <f>IF(AND($F239&lt;=Assumptions!$B$6,OR($G239="",$G239&gt;Assumptions!$B$6)),1,0)</f>
        <v>1</v>
      </c>
      <c r="O239" s="82">
        <f t="shared" si="11"/>
        <v>63600</v>
      </c>
    </row>
    <row r="240" spans="1:15" x14ac:dyDescent="0.25">
      <c r="A240" s="76" t="s">
        <v>1271</v>
      </c>
      <c r="B240" s="76" t="s">
        <v>647</v>
      </c>
      <c r="C240" s="76" t="s">
        <v>354</v>
      </c>
      <c r="D240" s="76" t="s">
        <v>633</v>
      </c>
      <c r="E240" s="77">
        <v>3</v>
      </c>
      <c r="F240" s="103">
        <v>42095</v>
      </c>
      <c r="H240" s="78">
        <v>123400</v>
      </c>
      <c r="J240" s="100">
        <f>IF($F240&lt;DATE(Assumptions!$B$7,1,1),1,IF(YEAR($F240)&gt;Assumptions!$B$7,13,MONTH($F240)))</f>
        <v>1</v>
      </c>
      <c r="K240" s="100">
        <f>IF(OR($G240="",$G240&gt;Assumptions!$B$6),Assumptions!$B$8,IF($G240&lt;DATE(Assumptions!$B$7,1,1),0,MONTH($G240)))</f>
        <v>8</v>
      </c>
      <c r="L240" s="113">
        <f t="shared" si="9"/>
        <v>8</v>
      </c>
      <c r="M240" s="82">
        <f t="shared" si="10"/>
        <v>82266.666666666672</v>
      </c>
      <c r="N240" s="100">
        <f>IF(AND($F240&lt;=Assumptions!$B$6,OR($G240="",$G240&gt;Assumptions!$B$6)),1,0)</f>
        <v>1</v>
      </c>
      <c r="O240" s="82">
        <f t="shared" si="11"/>
        <v>123400</v>
      </c>
    </row>
    <row r="241" spans="1:15" x14ac:dyDescent="0.25">
      <c r="A241" s="76" t="s">
        <v>1272</v>
      </c>
      <c r="B241" s="76" t="s">
        <v>649</v>
      </c>
      <c r="C241" s="76" t="s">
        <v>354</v>
      </c>
      <c r="D241" s="76" t="s">
        <v>626</v>
      </c>
      <c r="E241" s="77">
        <v>1</v>
      </c>
      <c r="F241" s="103">
        <v>46082</v>
      </c>
      <c r="H241" s="78">
        <v>61500</v>
      </c>
      <c r="J241" s="100">
        <f>IF($F241&lt;DATE(Assumptions!$B$7,1,1),1,IF(YEAR($F241)&gt;Assumptions!$B$7,13,MONTH($F241)))</f>
        <v>3</v>
      </c>
      <c r="K241" s="100">
        <f>IF(OR($G241="",$G241&gt;Assumptions!$B$6),Assumptions!$B$8,IF($G241&lt;DATE(Assumptions!$B$7,1,1),0,MONTH($G241)))</f>
        <v>8</v>
      </c>
      <c r="L241" s="113">
        <f t="shared" si="9"/>
        <v>6</v>
      </c>
      <c r="M241" s="82">
        <f t="shared" si="10"/>
        <v>30750</v>
      </c>
      <c r="N241" s="100">
        <f>IF(AND($F241&lt;=Assumptions!$B$6,OR($G241="",$G241&gt;Assumptions!$B$6)),1,0)</f>
        <v>1</v>
      </c>
      <c r="O241" s="82">
        <f t="shared" si="11"/>
        <v>61500</v>
      </c>
    </row>
    <row r="242" spans="1:15" x14ac:dyDescent="0.25">
      <c r="A242" s="76" t="s">
        <v>1273</v>
      </c>
      <c r="B242" s="76" t="s">
        <v>650</v>
      </c>
      <c r="C242" s="76" t="s">
        <v>356</v>
      </c>
      <c r="D242" s="76" t="s">
        <v>651</v>
      </c>
      <c r="E242" s="77">
        <v>2</v>
      </c>
      <c r="F242" s="103">
        <v>41821</v>
      </c>
      <c r="H242" s="78">
        <v>75000</v>
      </c>
      <c r="J242" s="100">
        <f>IF($F242&lt;DATE(Assumptions!$B$7,1,1),1,IF(YEAR($F242)&gt;Assumptions!$B$7,13,MONTH($F242)))</f>
        <v>1</v>
      </c>
      <c r="K242" s="100">
        <f>IF(OR($G242="",$G242&gt;Assumptions!$B$6),Assumptions!$B$8,IF($G242&lt;DATE(Assumptions!$B$7,1,1),0,MONTH($G242)))</f>
        <v>8</v>
      </c>
      <c r="L242" s="113">
        <f t="shared" si="9"/>
        <v>8</v>
      </c>
      <c r="M242" s="82">
        <f t="shared" si="10"/>
        <v>50000</v>
      </c>
      <c r="N242" s="100">
        <f>IF(AND($F242&lt;=Assumptions!$B$6,OR($G242="",$G242&gt;Assumptions!$B$6)),1,0)</f>
        <v>1</v>
      </c>
      <c r="O242" s="82">
        <f t="shared" si="11"/>
        <v>75000</v>
      </c>
    </row>
    <row r="243" spans="1:15" x14ac:dyDescent="0.25">
      <c r="A243" s="76" t="s">
        <v>1274</v>
      </c>
      <c r="B243" s="76" t="s">
        <v>652</v>
      </c>
      <c r="C243" s="76" t="s">
        <v>356</v>
      </c>
      <c r="D243" s="76" t="s">
        <v>651</v>
      </c>
      <c r="E243" s="77">
        <v>2</v>
      </c>
      <c r="F243" s="103">
        <v>42064</v>
      </c>
      <c r="H243" s="78">
        <v>78900</v>
      </c>
      <c r="J243" s="100">
        <f>IF($F243&lt;DATE(Assumptions!$B$7,1,1),1,IF(YEAR($F243)&gt;Assumptions!$B$7,13,MONTH($F243)))</f>
        <v>1</v>
      </c>
      <c r="K243" s="100">
        <f>IF(OR($G243="",$G243&gt;Assumptions!$B$6),Assumptions!$B$8,IF($G243&lt;DATE(Assumptions!$B$7,1,1),0,MONTH($G243)))</f>
        <v>8</v>
      </c>
      <c r="L243" s="113">
        <f t="shared" si="9"/>
        <v>8</v>
      </c>
      <c r="M243" s="82">
        <f t="shared" si="10"/>
        <v>52600</v>
      </c>
      <c r="N243" s="100">
        <f>IF(AND($F243&lt;=Assumptions!$B$6,OR($G243="",$G243&gt;Assumptions!$B$6)),1,0)</f>
        <v>1</v>
      </c>
      <c r="O243" s="82">
        <f t="shared" si="11"/>
        <v>78900</v>
      </c>
    </row>
    <row r="244" spans="1:15" x14ac:dyDescent="0.25">
      <c r="A244" s="76" t="s">
        <v>1275</v>
      </c>
      <c r="B244" s="76" t="s">
        <v>653</v>
      </c>
      <c r="C244" s="76" t="s">
        <v>356</v>
      </c>
      <c r="D244" s="76" t="s">
        <v>654</v>
      </c>
      <c r="E244" s="77">
        <v>1</v>
      </c>
      <c r="F244" s="103">
        <v>42278</v>
      </c>
      <c r="H244" s="78">
        <v>54600</v>
      </c>
      <c r="J244" s="100">
        <f>IF($F244&lt;DATE(Assumptions!$B$7,1,1),1,IF(YEAR($F244)&gt;Assumptions!$B$7,13,MONTH($F244)))</f>
        <v>1</v>
      </c>
      <c r="K244" s="100">
        <f>IF(OR($G244="",$G244&gt;Assumptions!$B$6),Assumptions!$B$8,IF($G244&lt;DATE(Assumptions!$B$7,1,1),0,MONTH($G244)))</f>
        <v>8</v>
      </c>
      <c r="L244" s="113">
        <f t="shared" si="9"/>
        <v>8</v>
      </c>
      <c r="M244" s="82">
        <f t="shared" si="10"/>
        <v>36400</v>
      </c>
      <c r="N244" s="100">
        <f>IF(AND($F244&lt;=Assumptions!$B$6,OR($G244="",$G244&gt;Assumptions!$B$6)),1,0)</f>
        <v>1</v>
      </c>
      <c r="O244" s="82">
        <f t="shared" si="11"/>
        <v>54600</v>
      </c>
    </row>
    <row r="245" spans="1:15" x14ac:dyDescent="0.25">
      <c r="A245" s="76" t="s">
        <v>1276</v>
      </c>
      <c r="B245" s="76" t="s">
        <v>655</v>
      </c>
      <c r="C245" s="76" t="s">
        <v>356</v>
      </c>
      <c r="D245" s="76" t="s">
        <v>656</v>
      </c>
      <c r="E245" s="77">
        <v>2</v>
      </c>
      <c r="F245" s="103">
        <v>45047</v>
      </c>
      <c r="H245" s="78">
        <v>85700</v>
      </c>
      <c r="J245" s="100">
        <f>IF($F245&lt;DATE(Assumptions!$B$7,1,1),1,IF(YEAR($F245)&gt;Assumptions!$B$7,13,MONTH($F245)))</f>
        <v>1</v>
      </c>
      <c r="K245" s="100">
        <f>IF(OR($G245="",$G245&gt;Assumptions!$B$6),Assumptions!$B$8,IF($G245&lt;DATE(Assumptions!$B$7,1,1),0,MONTH($G245)))</f>
        <v>8</v>
      </c>
      <c r="L245" s="113">
        <f t="shared" si="9"/>
        <v>8</v>
      </c>
      <c r="M245" s="82">
        <f t="shared" si="10"/>
        <v>57133.333333333336</v>
      </c>
      <c r="N245" s="100">
        <f>IF(AND($F245&lt;=Assumptions!$B$6,OR($G245="",$G245&gt;Assumptions!$B$6)),1,0)</f>
        <v>1</v>
      </c>
      <c r="O245" s="82">
        <f t="shared" si="11"/>
        <v>85700</v>
      </c>
    </row>
    <row r="246" spans="1:15" x14ac:dyDescent="0.25">
      <c r="A246" s="76" t="s">
        <v>1277</v>
      </c>
      <c r="B246" s="76" t="s">
        <v>657</v>
      </c>
      <c r="C246" s="76" t="s">
        <v>356</v>
      </c>
      <c r="D246" s="76" t="s">
        <v>651</v>
      </c>
      <c r="E246" s="77">
        <v>2</v>
      </c>
      <c r="F246" s="103">
        <v>43040</v>
      </c>
      <c r="H246" s="78">
        <v>95500</v>
      </c>
      <c r="J246" s="100">
        <f>IF($F246&lt;DATE(Assumptions!$B$7,1,1),1,IF(YEAR($F246)&gt;Assumptions!$B$7,13,MONTH($F246)))</f>
        <v>1</v>
      </c>
      <c r="K246" s="100">
        <f>IF(OR($G246="",$G246&gt;Assumptions!$B$6),Assumptions!$B$8,IF($G246&lt;DATE(Assumptions!$B$7,1,1),0,MONTH($G246)))</f>
        <v>8</v>
      </c>
      <c r="L246" s="113">
        <f t="shared" si="9"/>
        <v>8</v>
      </c>
      <c r="M246" s="82">
        <f t="shared" si="10"/>
        <v>63666.666666666664</v>
      </c>
      <c r="N246" s="100">
        <f>IF(AND($F246&lt;=Assumptions!$B$6,OR($G246="",$G246&gt;Assumptions!$B$6)),1,0)</f>
        <v>1</v>
      </c>
      <c r="O246" s="82">
        <f t="shared" si="11"/>
        <v>95500</v>
      </c>
    </row>
    <row r="247" spans="1:15" x14ac:dyDescent="0.25">
      <c r="A247" s="76" t="s">
        <v>1278</v>
      </c>
      <c r="B247" s="76" t="s">
        <v>658</v>
      </c>
      <c r="C247" s="76" t="s">
        <v>356</v>
      </c>
      <c r="D247" s="76" t="s">
        <v>654</v>
      </c>
      <c r="E247" s="77">
        <v>1</v>
      </c>
      <c r="F247" s="103">
        <v>43525</v>
      </c>
      <c r="H247" s="78">
        <v>62200</v>
      </c>
      <c r="J247" s="100">
        <f>IF($F247&lt;DATE(Assumptions!$B$7,1,1),1,IF(YEAR($F247)&gt;Assumptions!$B$7,13,MONTH($F247)))</f>
        <v>1</v>
      </c>
      <c r="K247" s="100">
        <f>IF(OR($G247="",$G247&gt;Assumptions!$B$6),Assumptions!$B$8,IF($G247&lt;DATE(Assumptions!$B$7,1,1),0,MONTH($G247)))</f>
        <v>8</v>
      </c>
      <c r="L247" s="113">
        <f t="shared" si="9"/>
        <v>8</v>
      </c>
      <c r="M247" s="82">
        <f t="shared" si="10"/>
        <v>41466.666666666664</v>
      </c>
      <c r="N247" s="100">
        <f>IF(AND($F247&lt;=Assumptions!$B$6,OR($G247="",$G247&gt;Assumptions!$B$6)),1,0)</f>
        <v>1</v>
      </c>
      <c r="O247" s="82">
        <f t="shared" si="11"/>
        <v>62200</v>
      </c>
    </row>
    <row r="248" spans="1:15" x14ac:dyDescent="0.25">
      <c r="A248" s="76" t="s">
        <v>1279</v>
      </c>
      <c r="B248" s="76" t="s">
        <v>659</v>
      </c>
      <c r="C248" s="76" t="s">
        <v>356</v>
      </c>
      <c r="D248" s="76" t="s">
        <v>656</v>
      </c>
      <c r="E248" s="77">
        <v>2</v>
      </c>
      <c r="F248" s="103">
        <v>45962</v>
      </c>
      <c r="H248" s="78">
        <v>87600</v>
      </c>
      <c r="J248" s="100">
        <f>IF($F248&lt;DATE(Assumptions!$B$7,1,1),1,IF(YEAR($F248)&gt;Assumptions!$B$7,13,MONTH($F248)))</f>
        <v>1</v>
      </c>
      <c r="K248" s="100">
        <f>IF(OR($G248="",$G248&gt;Assumptions!$B$6),Assumptions!$B$8,IF($G248&lt;DATE(Assumptions!$B$7,1,1),0,MONTH($G248)))</f>
        <v>8</v>
      </c>
      <c r="L248" s="113">
        <f t="shared" si="9"/>
        <v>8</v>
      </c>
      <c r="M248" s="82">
        <f t="shared" si="10"/>
        <v>58400</v>
      </c>
      <c r="N248" s="100">
        <f>IF(AND($F248&lt;=Assumptions!$B$6,OR($G248="",$G248&gt;Assumptions!$B$6)),1,0)</f>
        <v>1</v>
      </c>
      <c r="O248" s="82">
        <f t="shared" si="11"/>
        <v>87600</v>
      </c>
    </row>
    <row r="249" spans="1:15" x14ac:dyDescent="0.25">
      <c r="A249" s="76" t="s">
        <v>1280</v>
      </c>
      <c r="B249" s="76" t="s">
        <v>660</v>
      </c>
      <c r="C249" s="76" t="s">
        <v>356</v>
      </c>
      <c r="D249" s="76" t="s">
        <v>651</v>
      </c>
      <c r="E249" s="77">
        <v>2</v>
      </c>
      <c r="F249" s="103">
        <v>43374</v>
      </c>
      <c r="H249" s="78">
        <v>88700</v>
      </c>
      <c r="J249" s="100">
        <f>IF($F249&lt;DATE(Assumptions!$B$7,1,1),1,IF(YEAR($F249)&gt;Assumptions!$B$7,13,MONTH($F249)))</f>
        <v>1</v>
      </c>
      <c r="K249" s="100">
        <f>IF(OR($G249="",$G249&gt;Assumptions!$B$6),Assumptions!$B$8,IF($G249&lt;DATE(Assumptions!$B$7,1,1),0,MONTH($G249)))</f>
        <v>8</v>
      </c>
      <c r="L249" s="113">
        <f t="shared" si="9"/>
        <v>8</v>
      </c>
      <c r="M249" s="82">
        <f t="shared" si="10"/>
        <v>59133.333333333336</v>
      </c>
      <c r="N249" s="100">
        <f>IF(AND($F249&lt;=Assumptions!$B$6,OR($G249="",$G249&gt;Assumptions!$B$6)),1,0)</f>
        <v>1</v>
      </c>
      <c r="O249" s="82">
        <f t="shared" si="11"/>
        <v>88700</v>
      </c>
    </row>
    <row r="250" spans="1:15" x14ac:dyDescent="0.25">
      <c r="A250" s="76" t="s">
        <v>1281</v>
      </c>
      <c r="B250" s="76" t="s">
        <v>661</v>
      </c>
      <c r="C250" s="76" t="s">
        <v>356</v>
      </c>
      <c r="D250" s="76" t="s">
        <v>651</v>
      </c>
      <c r="E250" s="77">
        <v>2</v>
      </c>
      <c r="F250" s="103">
        <v>42461</v>
      </c>
      <c r="H250" s="78">
        <v>81800</v>
      </c>
      <c r="J250" s="100">
        <f>IF($F250&lt;DATE(Assumptions!$B$7,1,1),1,IF(YEAR($F250)&gt;Assumptions!$B$7,13,MONTH($F250)))</f>
        <v>1</v>
      </c>
      <c r="K250" s="100">
        <f>IF(OR($G250="",$G250&gt;Assumptions!$B$6),Assumptions!$B$8,IF($G250&lt;DATE(Assumptions!$B$7,1,1),0,MONTH($G250)))</f>
        <v>8</v>
      </c>
      <c r="L250" s="113">
        <f t="shared" si="9"/>
        <v>8</v>
      </c>
      <c r="M250" s="82">
        <f t="shared" si="10"/>
        <v>54533.333333333336</v>
      </c>
      <c r="N250" s="100">
        <f>IF(AND($F250&lt;=Assumptions!$B$6,OR($G250="",$G250&gt;Assumptions!$B$6)),1,0)</f>
        <v>1</v>
      </c>
      <c r="O250" s="82">
        <f t="shared" si="11"/>
        <v>81800</v>
      </c>
    </row>
    <row r="251" spans="1:15" x14ac:dyDescent="0.25">
      <c r="A251" s="76" t="s">
        <v>1282</v>
      </c>
      <c r="B251" s="76" t="s">
        <v>662</v>
      </c>
      <c r="C251" s="76" t="s">
        <v>356</v>
      </c>
      <c r="D251" s="76" t="s">
        <v>656</v>
      </c>
      <c r="E251" s="77">
        <v>2</v>
      </c>
      <c r="F251" s="103">
        <v>43862</v>
      </c>
      <c r="H251" s="78">
        <v>90800</v>
      </c>
      <c r="J251" s="100">
        <f>IF($F251&lt;DATE(Assumptions!$B$7,1,1),1,IF(YEAR($F251)&gt;Assumptions!$B$7,13,MONTH($F251)))</f>
        <v>1</v>
      </c>
      <c r="K251" s="100">
        <f>IF(OR($G251="",$G251&gt;Assumptions!$B$6),Assumptions!$B$8,IF($G251&lt;DATE(Assumptions!$B$7,1,1),0,MONTH($G251)))</f>
        <v>8</v>
      </c>
      <c r="L251" s="113">
        <f t="shared" si="9"/>
        <v>8</v>
      </c>
      <c r="M251" s="82">
        <f t="shared" si="10"/>
        <v>60533.333333333336</v>
      </c>
      <c r="N251" s="100">
        <f>IF(AND($F251&lt;=Assumptions!$B$6,OR($G251="",$G251&gt;Assumptions!$B$6)),1,0)</f>
        <v>1</v>
      </c>
      <c r="O251" s="82">
        <f t="shared" si="11"/>
        <v>90800</v>
      </c>
    </row>
    <row r="252" spans="1:15" x14ac:dyDescent="0.25">
      <c r="A252" s="76" t="s">
        <v>1283</v>
      </c>
      <c r="B252" s="76" t="s">
        <v>663</v>
      </c>
      <c r="C252" s="76" t="s">
        <v>356</v>
      </c>
      <c r="D252" s="76" t="s">
        <v>651</v>
      </c>
      <c r="E252" s="77">
        <v>2</v>
      </c>
      <c r="F252" s="103">
        <v>42430</v>
      </c>
      <c r="H252" s="78">
        <v>93800</v>
      </c>
      <c r="J252" s="100">
        <f>IF($F252&lt;DATE(Assumptions!$B$7,1,1),1,IF(YEAR($F252)&gt;Assumptions!$B$7,13,MONTH($F252)))</f>
        <v>1</v>
      </c>
      <c r="K252" s="100">
        <f>IF(OR($G252="",$G252&gt;Assumptions!$B$6),Assumptions!$B$8,IF($G252&lt;DATE(Assumptions!$B$7,1,1),0,MONTH($G252)))</f>
        <v>8</v>
      </c>
      <c r="L252" s="113">
        <f t="shared" si="9"/>
        <v>8</v>
      </c>
      <c r="M252" s="82">
        <f t="shared" si="10"/>
        <v>62533.333333333336</v>
      </c>
      <c r="N252" s="100">
        <f>IF(AND($F252&lt;=Assumptions!$B$6,OR($G252="",$G252&gt;Assumptions!$B$6)),1,0)</f>
        <v>1</v>
      </c>
      <c r="O252" s="82">
        <f t="shared" si="11"/>
        <v>93800</v>
      </c>
    </row>
    <row r="253" spans="1:15" x14ac:dyDescent="0.25">
      <c r="A253" s="76" t="s">
        <v>1284</v>
      </c>
      <c r="B253" s="76" t="s">
        <v>664</v>
      </c>
      <c r="C253" s="76" t="s">
        <v>356</v>
      </c>
      <c r="D253" s="76" t="s">
        <v>665</v>
      </c>
      <c r="E253" s="77">
        <v>3</v>
      </c>
      <c r="F253" s="103">
        <v>44013</v>
      </c>
      <c r="H253" s="78">
        <v>128800</v>
      </c>
      <c r="J253" s="100">
        <f>IF($F253&lt;DATE(Assumptions!$B$7,1,1),1,IF(YEAR($F253)&gt;Assumptions!$B$7,13,MONTH($F253)))</f>
        <v>1</v>
      </c>
      <c r="K253" s="100">
        <f>IF(OR($G253="",$G253&gt;Assumptions!$B$6),Assumptions!$B$8,IF($G253&lt;DATE(Assumptions!$B$7,1,1),0,MONTH($G253)))</f>
        <v>8</v>
      </c>
      <c r="L253" s="113">
        <f t="shared" si="9"/>
        <v>8</v>
      </c>
      <c r="M253" s="82">
        <f t="shared" si="10"/>
        <v>85866.666666666672</v>
      </c>
      <c r="N253" s="100">
        <f>IF(AND($F253&lt;=Assumptions!$B$6,OR($G253="",$G253&gt;Assumptions!$B$6)),1,0)</f>
        <v>1</v>
      </c>
      <c r="O253" s="82">
        <f t="shared" si="11"/>
        <v>128800</v>
      </c>
    </row>
    <row r="254" spans="1:15" x14ac:dyDescent="0.25">
      <c r="A254" s="76" t="s">
        <v>1285</v>
      </c>
      <c r="B254" s="76" t="s">
        <v>666</v>
      </c>
      <c r="C254" s="76" t="s">
        <v>356</v>
      </c>
      <c r="D254" s="76" t="s">
        <v>665</v>
      </c>
      <c r="E254" s="77">
        <v>3</v>
      </c>
      <c r="F254" s="103">
        <v>42948</v>
      </c>
      <c r="H254" s="78">
        <v>112000</v>
      </c>
      <c r="J254" s="100">
        <f>IF($F254&lt;DATE(Assumptions!$B$7,1,1),1,IF(YEAR($F254)&gt;Assumptions!$B$7,13,MONTH($F254)))</f>
        <v>1</v>
      </c>
      <c r="K254" s="100">
        <f>IF(OR($G254="",$G254&gt;Assumptions!$B$6),Assumptions!$B$8,IF($G254&lt;DATE(Assumptions!$B$7,1,1),0,MONTH($G254)))</f>
        <v>8</v>
      </c>
      <c r="L254" s="113">
        <f t="shared" si="9"/>
        <v>8</v>
      </c>
      <c r="M254" s="82">
        <f t="shared" si="10"/>
        <v>74666.666666666672</v>
      </c>
      <c r="N254" s="100">
        <f>IF(AND($F254&lt;=Assumptions!$B$6,OR($G254="",$G254&gt;Assumptions!$B$6)),1,0)</f>
        <v>1</v>
      </c>
      <c r="O254" s="82">
        <f t="shared" si="11"/>
        <v>112000</v>
      </c>
    </row>
    <row r="255" spans="1:15" x14ac:dyDescent="0.25">
      <c r="A255" s="76" t="s">
        <v>1286</v>
      </c>
      <c r="B255" s="76" t="s">
        <v>667</v>
      </c>
      <c r="C255" s="76" t="s">
        <v>356</v>
      </c>
      <c r="D255" s="76" t="s">
        <v>654</v>
      </c>
      <c r="E255" s="77">
        <v>1</v>
      </c>
      <c r="F255" s="103">
        <v>44927</v>
      </c>
      <c r="H255" s="78">
        <v>66600</v>
      </c>
      <c r="J255" s="100">
        <f>IF($F255&lt;DATE(Assumptions!$B$7,1,1),1,IF(YEAR($F255)&gt;Assumptions!$B$7,13,MONTH($F255)))</f>
        <v>1</v>
      </c>
      <c r="K255" s="100">
        <f>IF(OR($G255="",$G255&gt;Assumptions!$B$6),Assumptions!$B$8,IF($G255&lt;DATE(Assumptions!$B$7,1,1),0,MONTH($G255)))</f>
        <v>8</v>
      </c>
      <c r="L255" s="113">
        <f t="shared" si="9"/>
        <v>8</v>
      </c>
      <c r="M255" s="82">
        <f t="shared" si="10"/>
        <v>44400</v>
      </c>
      <c r="N255" s="100">
        <f>IF(AND($F255&lt;=Assumptions!$B$6,OR($G255="",$G255&gt;Assumptions!$B$6)),1,0)</f>
        <v>1</v>
      </c>
      <c r="O255" s="82">
        <f t="shared" si="11"/>
        <v>66600</v>
      </c>
    </row>
    <row r="256" spans="1:15" x14ac:dyDescent="0.25">
      <c r="A256" s="76" t="s">
        <v>1287</v>
      </c>
      <c r="B256" s="76" t="s">
        <v>668</v>
      </c>
      <c r="C256" s="76" t="s">
        <v>356</v>
      </c>
      <c r="D256" s="76" t="s">
        <v>654</v>
      </c>
      <c r="E256" s="77">
        <v>1</v>
      </c>
      <c r="F256" s="103">
        <v>43221</v>
      </c>
      <c r="H256" s="78">
        <v>56100</v>
      </c>
      <c r="J256" s="100">
        <f>IF($F256&lt;DATE(Assumptions!$B$7,1,1),1,IF(YEAR($F256)&gt;Assumptions!$B$7,13,MONTH($F256)))</f>
        <v>1</v>
      </c>
      <c r="K256" s="100">
        <f>IF(OR($G256="",$G256&gt;Assumptions!$B$6),Assumptions!$B$8,IF($G256&lt;DATE(Assumptions!$B$7,1,1),0,MONTH($G256)))</f>
        <v>8</v>
      </c>
      <c r="L256" s="113">
        <f t="shared" si="9"/>
        <v>8</v>
      </c>
      <c r="M256" s="82">
        <f t="shared" si="10"/>
        <v>37400</v>
      </c>
      <c r="N256" s="100">
        <f>IF(AND($F256&lt;=Assumptions!$B$6,OR($G256="",$G256&gt;Assumptions!$B$6)),1,0)</f>
        <v>1</v>
      </c>
      <c r="O256" s="82">
        <f t="shared" si="11"/>
        <v>56100</v>
      </c>
    </row>
    <row r="257" spans="1:15" x14ac:dyDescent="0.25">
      <c r="A257" s="76" t="s">
        <v>1288</v>
      </c>
      <c r="B257" s="76" t="s">
        <v>669</v>
      </c>
      <c r="C257" s="76" t="s">
        <v>356</v>
      </c>
      <c r="D257" s="76" t="s">
        <v>651</v>
      </c>
      <c r="E257" s="77">
        <v>2</v>
      </c>
      <c r="F257" s="103">
        <v>44501</v>
      </c>
      <c r="H257" s="78">
        <v>79700</v>
      </c>
      <c r="J257" s="100">
        <f>IF($F257&lt;DATE(Assumptions!$B$7,1,1),1,IF(YEAR($F257)&gt;Assumptions!$B$7,13,MONTH($F257)))</f>
        <v>1</v>
      </c>
      <c r="K257" s="100">
        <f>IF(OR($G257="",$G257&gt;Assumptions!$B$6),Assumptions!$B$8,IF($G257&lt;DATE(Assumptions!$B$7,1,1),0,MONTH($G257)))</f>
        <v>8</v>
      </c>
      <c r="L257" s="113">
        <f t="shared" si="9"/>
        <v>8</v>
      </c>
      <c r="M257" s="82">
        <f t="shared" si="10"/>
        <v>53133.333333333336</v>
      </c>
      <c r="N257" s="100">
        <f>IF(AND($F257&lt;=Assumptions!$B$6,OR($G257="",$G257&gt;Assumptions!$B$6)),1,0)</f>
        <v>1</v>
      </c>
      <c r="O257" s="82">
        <f t="shared" si="11"/>
        <v>79700</v>
      </c>
    </row>
    <row r="258" spans="1:15" x14ac:dyDescent="0.25">
      <c r="A258" s="76" t="s">
        <v>1289</v>
      </c>
      <c r="B258" s="76" t="s">
        <v>670</v>
      </c>
      <c r="C258" s="76" t="s">
        <v>356</v>
      </c>
      <c r="D258" s="76" t="s">
        <v>654</v>
      </c>
      <c r="E258" s="77">
        <v>1</v>
      </c>
      <c r="F258" s="103">
        <v>42887</v>
      </c>
      <c r="H258" s="78">
        <v>68500</v>
      </c>
      <c r="J258" s="100">
        <f>IF($F258&lt;DATE(Assumptions!$B$7,1,1),1,IF(YEAR($F258)&gt;Assumptions!$B$7,13,MONTH($F258)))</f>
        <v>1</v>
      </c>
      <c r="K258" s="100">
        <f>IF(OR($G258="",$G258&gt;Assumptions!$B$6),Assumptions!$B$8,IF($G258&lt;DATE(Assumptions!$B$7,1,1),0,MONTH($G258)))</f>
        <v>8</v>
      </c>
      <c r="L258" s="113">
        <f t="shared" si="9"/>
        <v>8</v>
      </c>
      <c r="M258" s="82">
        <f t="shared" si="10"/>
        <v>45666.666666666664</v>
      </c>
      <c r="N258" s="100">
        <f>IF(AND($F258&lt;=Assumptions!$B$6,OR($G258="",$G258&gt;Assumptions!$B$6)),1,0)</f>
        <v>1</v>
      </c>
      <c r="O258" s="82">
        <f t="shared" si="11"/>
        <v>68500</v>
      </c>
    </row>
    <row r="259" spans="1:15" x14ac:dyDescent="0.25">
      <c r="A259" s="76" t="s">
        <v>1290</v>
      </c>
      <c r="B259" s="76" t="s">
        <v>671</v>
      </c>
      <c r="C259" s="76" t="s">
        <v>356</v>
      </c>
      <c r="D259" s="76" t="s">
        <v>665</v>
      </c>
      <c r="E259" s="77">
        <v>3</v>
      </c>
      <c r="F259" s="103">
        <v>41640</v>
      </c>
      <c r="H259" s="78">
        <v>113500</v>
      </c>
      <c r="J259" s="100">
        <f>IF($F259&lt;DATE(Assumptions!$B$7,1,1),1,IF(YEAR($F259)&gt;Assumptions!$B$7,13,MONTH($F259)))</f>
        <v>1</v>
      </c>
      <c r="K259" s="100">
        <f>IF(OR($G259="",$G259&gt;Assumptions!$B$6),Assumptions!$B$8,IF($G259&lt;DATE(Assumptions!$B$7,1,1),0,MONTH($G259)))</f>
        <v>8</v>
      </c>
      <c r="L259" s="113">
        <f t="shared" si="9"/>
        <v>8</v>
      </c>
      <c r="M259" s="82">
        <f t="shared" si="10"/>
        <v>75666.666666666672</v>
      </c>
      <c r="N259" s="100">
        <f>IF(AND($F259&lt;=Assumptions!$B$6,OR($G259="",$G259&gt;Assumptions!$B$6)),1,0)</f>
        <v>1</v>
      </c>
      <c r="O259" s="82">
        <f t="shared" si="11"/>
        <v>113500</v>
      </c>
    </row>
    <row r="260" spans="1:15" x14ac:dyDescent="0.25">
      <c r="A260" s="76" t="s">
        <v>1291</v>
      </c>
      <c r="B260" s="76" t="s">
        <v>672</v>
      </c>
      <c r="C260" s="76" t="s">
        <v>356</v>
      </c>
      <c r="D260" s="76" t="s">
        <v>656</v>
      </c>
      <c r="E260" s="77">
        <v>2</v>
      </c>
      <c r="F260" s="103">
        <v>43800</v>
      </c>
      <c r="H260" s="78">
        <v>87800</v>
      </c>
      <c r="J260" s="100">
        <f>IF($F260&lt;DATE(Assumptions!$B$7,1,1),1,IF(YEAR($F260)&gt;Assumptions!$B$7,13,MONTH($F260)))</f>
        <v>1</v>
      </c>
      <c r="K260" s="100">
        <f>IF(OR($G260="",$G260&gt;Assumptions!$B$6),Assumptions!$B$8,IF($G260&lt;DATE(Assumptions!$B$7,1,1),0,MONTH($G260)))</f>
        <v>8</v>
      </c>
      <c r="L260" s="113">
        <f t="shared" si="9"/>
        <v>8</v>
      </c>
      <c r="M260" s="82">
        <f t="shared" si="10"/>
        <v>58533.333333333336</v>
      </c>
      <c r="N260" s="100">
        <f>IF(AND($F260&lt;=Assumptions!$B$6,OR($G260="",$G260&gt;Assumptions!$B$6)),1,0)</f>
        <v>1</v>
      </c>
      <c r="O260" s="82">
        <f t="shared" si="11"/>
        <v>87800</v>
      </c>
    </row>
    <row r="261" spans="1:15" x14ac:dyDescent="0.25">
      <c r="A261" s="76" t="s">
        <v>1292</v>
      </c>
      <c r="B261" s="76" t="s">
        <v>673</v>
      </c>
      <c r="C261" s="76" t="s">
        <v>356</v>
      </c>
      <c r="D261" s="76" t="s">
        <v>665</v>
      </c>
      <c r="E261" s="77">
        <v>3</v>
      </c>
      <c r="F261" s="103">
        <v>45901</v>
      </c>
      <c r="H261" s="78">
        <v>131100</v>
      </c>
      <c r="J261" s="100">
        <f>IF($F261&lt;DATE(Assumptions!$B$7,1,1),1,IF(YEAR($F261)&gt;Assumptions!$B$7,13,MONTH($F261)))</f>
        <v>1</v>
      </c>
      <c r="K261" s="100">
        <f>IF(OR($G261="",$G261&gt;Assumptions!$B$6),Assumptions!$B$8,IF($G261&lt;DATE(Assumptions!$B$7,1,1),0,MONTH($G261)))</f>
        <v>8</v>
      </c>
      <c r="L261" s="113">
        <f t="shared" ref="L261:L324" si="12">MAX(0,K261-J261+1)</f>
        <v>8</v>
      </c>
      <c r="M261" s="82">
        <f t="shared" ref="M261:M324" si="13">$H261*L261/12</f>
        <v>87400</v>
      </c>
      <c r="N261" s="100">
        <f>IF(AND($F261&lt;=Assumptions!$B$6,OR($G261="",$G261&gt;Assumptions!$B$6)),1,0)</f>
        <v>1</v>
      </c>
      <c r="O261" s="82">
        <f t="shared" ref="O261:O324" si="14">$H261*N261</f>
        <v>131100</v>
      </c>
    </row>
    <row r="262" spans="1:15" x14ac:dyDescent="0.25">
      <c r="A262" s="76" t="s">
        <v>1293</v>
      </c>
      <c r="B262" s="76" t="s">
        <v>674</v>
      </c>
      <c r="C262" s="76" t="s">
        <v>356</v>
      </c>
      <c r="D262" s="76" t="s">
        <v>654</v>
      </c>
      <c r="E262" s="77">
        <v>1</v>
      </c>
      <c r="F262" s="103">
        <v>43466</v>
      </c>
      <c r="G262" s="103">
        <v>46142</v>
      </c>
      <c r="H262" s="78">
        <v>65900</v>
      </c>
      <c r="J262" s="100">
        <f>IF($F262&lt;DATE(Assumptions!$B$7,1,1),1,IF(YEAR($F262)&gt;Assumptions!$B$7,13,MONTH($F262)))</f>
        <v>1</v>
      </c>
      <c r="K262" s="100">
        <f>IF(OR($G262="",$G262&gt;Assumptions!$B$6),Assumptions!$B$8,IF($G262&lt;DATE(Assumptions!$B$7,1,1),0,MONTH($G262)))</f>
        <v>4</v>
      </c>
      <c r="L262" s="113">
        <f t="shared" si="12"/>
        <v>4</v>
      </c>
      <c r="M262" s="82">
        <f t="shared" si="13"/>
        <v>21966.666666666668</v>
      </c>
      <c r="N262" s="100">
        <f>IF(AND($F262&lt;=Assumptions!$B$6,OR($G262="",$G262&gt;Assumptions!$B$6)),1,0)</f>
        <v>0</v>
      </c>
      <c r="O262" s="82">
        <f t="shared" si="14"/>
        <v>0</v>
      </c>
    </row>
    <row r="263" spans="1:15" x14ac:dyDescent="0.25">
      <c r="A263" s="76" t="s">
        <v>1294</v>
      </c>
      <c r="B263" s="76" t="s">
        <v>674</v>
      </c>
      <c r="C263" s="76" t="s">
        <v>356</v>
      </c>
      <c r="D263" s="76" t="s">
        <v>654</v>
      </c>
      <c r="E263" s="77">
        <v>1</v>
      </c>
      <c r="F263" s="103">
        <v>46143</v>
      </c>
      <c r="H263" s="78">
        <v>70500</v>
      </c>
      <c r="J263" s="100">
        <f>IF($F263&lt;DATE(Assumptions!$B$7,1,1),1,IF(YEAR($F263)&gt;Assumptions!$B$7,13,MONTH($F263)))</f>
        <v>5</v>
      </c>
      <c r="K263" s="100">
        <f>IF(OR($G263="",$G263&gt;Assumptions!$B$6),Assumptions!$B$8,IF($G263&lt;DATE(Assumptions!$B$7,1,1),0,MONTH($G263)))</f>
        <v>8</v>
      </c>
      <c r="L263" s="113">
        <f t="shared" si="12"/>
        <v>4</v>
      </c>
      <c r="M263" s="82">
        <f t="shared" si="13"/>
        <v>23500</v>
      </c>
      <c r="N263" s="100">
        <f>IF(AND($F263&lt;=Assumptions!$B$6,OR($G263="",$G263&gt;Assumptions!$B$6)),1,0)</f>
        <v>1</v>
      </c>
      <c r="O263" s="82">
        <f t="shared" si="14"/>
        <v>70500</v>
      </c>
    </row>
    <row r="264" spans="1:15" x14ac:dyDescent="0.25">
      <c r="A264" s="76" t="s">
        <v>1295</v>
      </c>
      <c r="B264" s="76" t="s">
        <v>675</v>
      </c>
      <c r="C264" s="76" t="s">
        <v>356</v>
      </c>
      <c r="D264" s="76" t="s">
        <v>651</v>
      </c>
      <c r="E264" s="77">
        <v>2</v>
      </c>
      <c r="F264" s="103">
        <v>45292</v>
      </c>
      <c r="H264" s="78">
        <v>88300</v>
      </c>
      <c r="J264" s="100">
        <f>IF($F264&lt;DATE(Assumptions!$B$7,1,1),1,IF(YEAR($F264)&gt;Assumptions!$B$7,13,MONTH($F264)))</f>
        <v>1</v>
      </c>
      <c r="K264" s="100">
        <f>IF(OR($G264="",$G264&gt;Assumptions!$B$6),Assumptions!$B$8,IF($G264&lt;DATE(Assumptions!$B$7,1,1),0,MONTH($G264)))</f>
        <v>8</v>
      </c>
      <c r="L264" s="113">
        <f t="shared" si="12"/>
        <v>8</v>
      </c>
      <c r="M264" s="82">
        <f t="shared" si="13"/>
        <v>58866.666666666664</v>
      </c>
      <c r="N264" s="100">
        <f>IF(AND($F264&lt;=Assumptions!$B$6,OR($G264="",$G264&gt;Assumptions!$B$6)),1,0)</f>
        <v>1</v>
      </c>
      <c r="O264" s="82">
        <f t="shared" si="14"/>
        <v>88300</v>
      </c>
    </row>
    <row r="265" spans="1:15" x14ac:dyDescent="0.25">
      <c r="A265" s="76" t="s">
        <v>1296</v>
      </c>
      <c r="B265" s="76" t="s">
        <v>676</v>
      </c>
      <c r="C265" s="76" t="s">
        <v>356</v>
      </c>
      <c r="D265" s="76" t="s">
        <v>665</v>
      </c>
      <c r="E265" s="77">
        <v>3</v>
      </c>
      <c r="F265" s="103">
        <v>44986</v>
      </c>
      <c r="H265" s="78">
        <v>109400</v>
      </c>
      <c r="J265" s="100">
        <f>IF($F265&lt;DATE(Assumptions!$B$7,1,1),1,IF(YEAR($F265)&gt;Assumptions!$B$7,13,MONTH($F265)))</f>
        <v>1</v>
      </c>
      <c r="K265" s="100">
        <f>IF(OR($G265="",$G265&gt;Assumptions!$B$6),Assumptions!$B$8,IF($G265&lt;DATE(Assumptions!$B$7,1,1),0,MONTH($G265)))</f>
        <v>8</v>
      </c>
      <c r="L265" s="113">
        <f t="shared" si="12"/>
        <v>8</v>
      </c>
      <c r="M265" s="82">
        <f t="shared" si="13"/>
        <v>72933.333333333328</v>
      </c>
      <c r="N265" s="100">
        <f>IF(AND($F265&lt;=Assumptions!$B$6,OR($G265="",$G265&gt;Assumptions!$B$6)),1,0)</f>
        <v>1</v>
      </c>
      <c r="O265" s="82">
        <f t="shared" si="14"/>
        <v>109400</v>
      </c>
    </row>
    <row r="266" spans="1:15" x14ac:dyDescent="0.25">
      <c r="A266" s="76" t="s">
        <v>1297</v>
      </c>
      <c r="B266" s="76" t="s">
        <v>677</v>
      </c>
      <c r="C266" s="76" t="s">
        <v>356</v>
      </c>
      <c r="D266" s="76" t="s">
        <v>665</v>
      </c>
      <c r="E266" s="77">
        <v>3</v>
      </c>
      <c r="F266" s="103">
        <v>43313</v>
      </c>
      <c r="H266" s="78">
        <v>115000</v>
      </c>
      <c r="J266" s="100">
        <f>IF($F266&lt;DATE(Assumptions!$B$7,1,1),1,IF(YEAR($F266)&gt;Assumptions!$B$7,13,MONTH($F266)))</f>
        <v>1</v>
      </c>
      <c r="K266" s="100">
        <f>IF(OR($G266="",$G266&gt;Assumptions!$B$6),Assumptions!$B$8,IF($G266&lt;DATE(Assumptions!$B$7,1,1),0,MONTH($G266)))</f>
        <v>8</v>
      </c>
      <c r="L266" s="113">
        <f t="shared" si="12"/>
        <v>8</v>
      </c>
      <c r="M266" s="82">
        <f t="shared" si="13"/>
        <v>76666.666666666672</v>
      </c>
      <c r="N266" s="100">
        <f>IF(AND($F266&lt;=Assumptions!$B$6,OR($G266="",$G266&gt;Assumptions!$B$6)),1,0)</f>
        <v>1</v>
      </c>
      <c r="O266" s="82">
        <f t="shared" si="14"/>
        <v>115000</v>
      </c>
    </row>
    <row r="267" spans="1:15" x14ac:dyDescent="0.25">
      <c r="A267" s="76" t="s">
        <v>1298</v>
      </c>
      <c r="B267" s="76" t="s">
        <v>678</v>
      </c>
      <c r="C267" s="76" t="s">
        <v>356</v>
      </c>
      <c r="D267" s="76" t="s">
        <v>656</v>
      </c>
      <c r="E267" s="77">
        <v>2</v>
      </c>
      <c r="F267" s="103">
        <v>45231</v>
      </c>
      <c r="H267" s="78">
        <v>87200</v>
      </c>
      <c r="J267" s="100">
        <f>IF($F267&lt;DATE(Assumptions!$B$7,1,1),1,IF(YEAR($F267)&gt;Assumptions!$B$7,13,MONTH($F267)))</f>
        <v>1</v>
      </c>
      <c r="K267" s="100">
        <f>IF(OR($G267="",$G267&gt;Assumptions!$B$6),Assumptions!$B$8,IF($G267&lt;DATE(Assumptions!$B$7,1,1),0,MONTH($G267)))</f>
        <v>8</v>
      </c>
      <c r="L267" s="113">
        <f t="shared" si="12"/>
        <v>8</v>
      </c>
      <c r="M267" s="82">
        <f t="shared" si="13"/>
        <v>58133.333333333336</v>
      </c>
      <c r="N267" s="100">
        <f>IF(AND($F267&lt;=Assumptions!$B$6,OR($G267="",$G267&gt;Assumptions!$B$6)),1,0)</f>
        <v>1</v>
      </c>
      <c r="O267" s="82">
        <f t="shared" si="14"/>
        <v>87200</v>
      </c>
    </row>
    <row r="268" spans="1:15" x14ac:dyDescent="0.25">
      <c r="A268" s="76" t="s">
        <v>1299</v>
      </c>
      <c r="B268" s="76" t="s">
        <v>679</v>
      </c>
      <c r="C268" s="76" t="s">
        <v>356</v>
      </c>
      <c r="D268" s="76" t="s">
        <v>651</v>
      </c>
      <c r="E268" s="77">
        <v>2</v>
      </c>
      <c r="F268" s="103">
        <v>45748</v>
      </c>
      <c r="H268" s="78">
        <v>74900</v>
      </c>
      <c r="J268" s="100">
        <f>IF($F268&lt;DATE(Assumptions!$B$7,1,1),1,IF(YEAR($F268)&gt;Assumptions!$B$7,13,MONTH($F268)))</f>
        <v>1</v>
      </c>
      <c r="K268" s="100">
        <f>IF(OR($G268="",$G268&gt;Assumptions!$B$6),Assumptions!$B$8,IF($G268&lt;DATE(Assumptions!$B$7,1,1),0,MONTH($G268)))</f>
        <v>8</v>
      </c>
      <c r="L268" s="113">
        <f t="shared" si="12"/>
        <v>8</v>
      </c>
      <c r="M268" s="82">
        <f t="shared" si="13"/>
        <v>49933.333333333336</v>
      </c>
      <c r="N268" s="100">
        <f>IF(AND($F268&lt;=Assumptions!$B$6,OR($G268="",$G268&gt;Assumptions!$B$6)),1,0)</f>
        <v>1</v>
      </c>
      <c r="O268" s="82">
        <f t="shared" si="14"/>
        <v>74900</v>
      </c>
    </row>
    <row r="269" spans="1:15" x14ac:dyDescent="0.25">
      <c r="A269" s="76" t="s">
        <v>1300</v>
      </c>
      <c r="B269" s="76" t="s">
        <v>680</v>
      </c>
      <c r="C269" s="76" t="s">
        <v>356</v>
      </c>
      <c r="D269" s="76" t="s">
        <v>654</v>
      </c>
      <c r="E269" s="77">
        <v>1</v>
      </c>
      <c r="F269" s="103">
        <v>43160</v>
      </c>
      <c r="H269" s="78">
        <v>54000</v>
      </c>
      <c r="J269" s="100">
        <f>IF($F269&lt;DATE(Assumptions!$B$7,1,1),1,IF(YEAR($F269)&gt;Assumptions!$B$7,13,MONTH($F269)))</f>
        <v>1</v>
      </c>
      <c r="K269" s="100">
        <f>IF(OR($G269="",$G269&gt;Assumptions!$B$6),Assumptions!$B$8,IF($G269&lt;DATE(Assumptions!$B$7,1,1),0,MONTH($G269)))</f>
        <v>8</v>
      </c>
      <c r="L269" s="113">
        <f t="shared" si="12"/>
        <v>8</v>
      </c>
      <c r="M269" s="82">
        <f t="shared" si="13"/>
        <v>36000</v>
      </c>
      <c r="N269" s="100">
        <f>IF(AND($F269&lt;=Assumptions!$B$6,OR($G269="",$G269&gt;Assumptions!$B$6)),1,0)</f>
        <v>1</v>
      </c>
      <c r="O269" s="82">
        <f t="shared" si="14"/>
        <v>54000</v>
      </c>
    </row>
    <row r="270" spans="1:15" x14ac:dyDescent="0.25">
      <c r="A270" s="76" t="s">
        <v>1301</v>
      </c>
      <c r="B270" s="76" t="s">
        <v>681</v>
      </c>
      <c r="C270" s="76" t="s">
        <v>356</v>
      </c>
      <c r="D270" s="76" t="s">
        <v>654</v>
      </c>
      <c r="E270" s="77">
        <v>1</v>
      </c>
      <c r="F270" s="103">
        <v>44440</v>
      </c>
      <c r="H270" s="78">
        <v>63100</v>
      </c>
      <c r="J270" s="100">
        <f>IF($F270&lt;DATE(Assumptions!$B$7,1,1),1,IF(YEAR($F270)&gt;Assumptions!$B$7,13,MONTH($F270)))</f>
        <v>1</v>
      </c>
      <c r="K270" s="100">
        <f>IF(OR($G270="",$G270&gt;Assumptions!$B$6),Assumptions!$B$8,IF($G270&lt;DATE(Assumptions!$B$7,1,1),0,MONTH($G270)))</f>
        <v>8</v>
      </c>
      <c r="L270" s="113">
        <f t="shared" si="12"/>
        <v>8</v>
      </c>
      <c r="M270" s="82">
        <f t="shared" si="13"/>
        <v>42066.666666666664</v>
      </c>
      <c r="N270" s="100">
        <f>IF(AND($F270&lt;=Assumptions!$B$6,OR($G270="",$G270&gt;Assumptions!$B$6)),1,0)</f>
        <v>1</v>
      </c>
      <c r="O270" s="82">
        <f t="shared" si="14"/>
        <v>63100</v>
      </c>
    </row>
    <row r="271" spans="1:15" x14ac:dyDescent="0.25">
      <c r="A271" s="76" t="s">
        <v>1302</v>
      </c>
      <c r="B271" s="76" t="s">
        <v>682</v>
      </c>
      <c r="C271" s="76" t="s">
        <v>356</v>
      </c>
      <c r="D271" s="76" t="s">
        <v>665</v>
      </c>
      <c r="E271" s="77">
        <v>3</v>
      </c>
      <c r="F271" s="103">
        <v>45962</v>
      </c>
      <c r="H271" s="78">
        <v>130800</v>
      </c>
      <c r="J271" s="100">
        <f>IF($F271&lt;DATE(Assumptions!$B$7,1,1),1,IF(YEAR($F271)&gt;Assumptions!$B$7,13,MONTH($F271)))</f>
        <v>1</v>
      </c>
      <c r="K271" s="100">
        <f>IF(OR($G271="",$G271&gt;Assumptions!$B$6),Assumptions!$B$8,IF($G271&lt;DATE(Assumptions!$B$7,1,1),0,MONTH($G271)))</f>
        <v>8</v>
      </c>
      <c r="L271" s="113">
        <f t="shared" si="12"/>
        <v>8</v>
      </c>
      <c r="M271" s="82">
        <f t="shared" si="13"/>
        <v>87200</v>
      </c>
      <c r="N271" s="100">
        <f>IF(AND($F271&lt;=Assumptions!$B$6,OR($G271="",$G271&gt;Assumptions!$B$6)),1,0)</f>
        <v>1</v>
      </c>
      <c r="O271" s="82">
        <f t="shared" si="14"/>
        <v>130800</v>
      </c>
    </row>
    <row r="272" spans="1:15" x14ac:dyDescent="0.25">
      <c r="A272" s="76" t="s">
        <v>1303</v>
      </c>
      <c r="B272" s="76" t="s">
        <v>683</v>
      </c>
      <c r="C272" s="76" t="s">
        <v>356</v>
      </c>
      <c r="D272" s="76" t="s">
        <v>654</v>
      </c>
      <c r="E272" s="77">
        <v>1</v>
      </c>
      <c r="F272" s="103">
        <v>44986</v>
      </c>
      <c r="H272" s="78">
        <v>53800</v>
      </c>
      <c r="J272" s="100">
        <f>IF($F272&lt;DATE(Assumptions!$B$7,1,1),1,IF(YEAR($F272)&gt;Assumptions!$B$7,13,MONTH($F272)))</f>
        <v>1</v>
      </c>
      <c r="K272" s="100">
        <f>IF(OR($G272="",$G272&gt;Assumptions!$B$6),Assumptions!$B$8,IF($G272&lt;DATE(Assumptions!$B$7,1,1),0,MONTH($G272)))</f>
        <v>8</v>
      </c>
      <c r="L272" s="113">
        <f t="shared" si="12"/>
        <v>8</v>
      </c>
      <c r="M272" s="82">
        <f t="shared" si="13"/>
        <v>35866.666666666664</v>
      </c>
      <c r="N272" s="100">
        <f>IF(AND($F272&lt;=Assumptions!$B$6,OR($G272="",$G272&gt;Assumptions!$B$6)),1,0)</f>
        <v>1</v>
      </c>
      <c r="O272" s="82">
        <f t="shared" si="14"/>
        <v>53800</v>
      </c>
    </row>
    <row r="273" spans="1:15" x14ac:dyDescent="0.25">
      <c r="A273" s="76" t="s">
        <v>1304</v>
      </c>
      <c r="B273" s="76" t="s">
        <v>684</v>
      </c>
      <c r="C273" s="76" t="s">
        <v>356</v>
      </c>
      <c r="D273" s="76" t="s">
        <v>654</v>
      </c>
      <c r="E273" s="77">
        <v>1</v>
      </c>
      <c r="F273" s="103">
        <v>42036</v>
      </c>
      <c r="H273" s="78">
        <v>57300</v>
      </c>
      <c r="J273" s="100">
        <f>IF($F273&lt;DATE(Assumptions!$B$7,1,1),1,IF(YEAR($F273)&gt;Assumptions!$B$7,13,MONTH($F273)))</f>
        <v>1</v>
      </c>
      <c r="K273" s="100">
        <f>IF(OR($G273="",$G273&gt;Assumptions!$B$6),Assumptions!$B$8,IF($G273&lt;DATE(Assumptions!$B$7,1,1),0,MONTH($G273)))</f>
        <v>8</v>
      </c>
      <c r="L273" s="113">
        <f t="shared" si="12"/>
        <v>8</v>
      </c>
      <c r="M273" s="82">
        <f t="shared" si="13"/>
        <v>38200</v>
      </c>
      <c r="N273" s="100">
        <f>IF(AND($F273&lt;=Assumptions!$B$6,OR($G273="",$G273&gt;Assumptions!$B$6)),1,0)</f>
        <v>1</v>
      </c>
      <c r="O273" s="82">
        <f t="shared" si="14"/>
        <v>57300</v>
      </c>
    </row>
    <row r="274" spans="1:15" x14ac:dyDescent="0.25">
      <c r="A274" s="76" t="s">
        <v>1305</v>
      </c>
      <c r="B274" s="76" t="s">
        <v>685</v>
      </c>
      <c r="C274" s="76" t="s">
        <v>356</v>
      </c>
      <c r="D274" s="76" t="s">
        <v>651</v>
      </c>
      <c r="E274" s="77">
        <v>2</v>
      </c>
      <c r="F274" s="103">
        <v>44927</v>
      </c>
      <c r="G274" s="103">
        <v>46203</v>
      </c>
      <c r="H274" s="78">
        <v>86300</v>
      </c>
      <c r="J274" s="100">
        <f>IF($F274&lt;DATE(Assumptions!$B$7,1,1),1,IF(YEAR($F274)&gt;Assumptions!$B$7,13,MONTH($F274)))</f>
        <v>1</v>
      </c>
      <c r="K274" s="100">
        <f>IF(OR($G274="",$G274&gt;Assumptions!$B$6),Assumptions!$B$8,IF($G274&lt;DATE(Assumptions!$B$7,1,1),0,MONTH($G274)))</f>
        <v>6</v>
      </c>
      <c r="L274" s="113">
        <f t="shared" si="12"/>
        <v>6</v>
      </c>
      <c r="M274" s="82">
        <f t="shared" si="13"/>
        <v>43150</v>
      </c>
      <c r="N274" s="100">
        <f>IF(AND($F274&lt;=Assumptions!$B$6,OR($G274="",$G274&gt;Assumptions!$B$6)),1,0)</f>
        <v>0</v>
      </c>
      <c r="O274" s="82">
        <f t="shared" si="14"/>
        <v>0</v>
      </c>
    </row>
    <row r="275" spans="1:15" x14ac:dyDescent="0.25">
      <c r="A275" s="76" t="s">
        <v>1306</v>
      </c>
      <c r="B275" s="76" t="s">
        <v>686</v>
      </c>
      <c r="C275" s="76" t="s">
        <v>356</v>
      </c>
      <c r="D275" s="76" t="s">
        <v>651</v>
      </c>
      <c r="E275" s="77">
        <v>2</v>
      </c>
      <c r="F275" s="103">
        <v>45536</v>
      </c>
      <c r="H275" s="78">
        <v>96800</v>
      </c>
      <c r="J275" s="100">
        <f>IF($F275&lt;DATE(Assumptions!$B$7,1,1),1,IF(YEAR($F275)&gt;Assumptions!$B$7,13,MONTH($F275)))</f>
        <v>1</v>
      </c>
      <c r="K275" s="100">
        <f>IF(OR($G275="",$G275&gt;Assumptions!$B$6),Assumptions!$B$8,IF($G275&lt;DATE(Assumptions!$B$7,1,1),0,MONTH($G275)))</f>
        <v>8</v>
      </c>
      <c r="L275" s="113">
        <f t="shared" si="12"/>
        <v>8</v>
      </c>
      <c r="M275" s="82">
        <f t="shared" si="13"/>
        <v>64533.333333333336</v>
      </c>
      <c r="N275" s="100">
        <f>IF(AND($F275&lt;=Assumptions!$B$6,OR($G275="",$G275&gt;Assumptions!$B$6)),1,0)</f>
        <v>1</v>
      </c>
      <c r="O275" s="82">
        <f t="shared" si="14"/>
        <v>96800</v>
      </c>
    </row>
    <row r="276" spans="1:15" x14ac:dyDescent="0.25">
      <c r="A276" s="76" t="s">
        <v>1307</v>
      </c>
      <c r="B276" s="76" t="s">
        <v>687</v>
      </c>
      <c r="C276" s="76" t="s">
        <v>356</v>
      </c>
      <c r="D276" s="76" t="s">
        <v>651</v>
      </c>
      <c r="E276" s="77">
        <v>2</v>
      </c>
      <c r="F276" s="103">
        <v>44682</v>
      </c>
      <c r="G276" s="103">
        <v>46173</v>
      </c>
      <c r="H276" s="78">
        <v>89600</v>
      </c>
      <c r="J276" s="100">
        <f>IF($F276&lt;DATE(Assumptions!$B$7,1,1),1,IF(YEAR($F276)&gt;Assumptions!$B$7,13,MONTH($F276)))</f>
        <v>1</v>
      </c>
      <c r="K276" s="100">
        <f>IF(OR($G276="",$G276&gt;Assumptions!$B$6),Assumptions!$B$8,IF($G276&lt;DATE(Assumptions!$B$7,1,1),0,MONTH($G276)))</f>
        <v>5</v>
      </c>
      <c r="L276" s="113">
        <f t="shared" si="12"/>
        <v>5</v>
      </c>
      <c r="M276" s="82">
        <f t="shared" si="13"/>
        <v>37333.333333333336</v>
      </c>
      <c r="N276" s="100">
        <f>IF(AND($F276&lt;=Assumptions!$B$6,OR($G276="",$G276&gt;Assumptions!$B$6)),1,0)</f>
        <v>0</v>
      </c>
      <c r="O276" s="82">
        <f t="shared" si="14"/>
        <v>0</v>
      </c>
    </row>
    <row r="277" spans="1:15" x14ac:dyDescent="0.25">
      <c r="A277" s="76" t="s">
        <v>1308</v>
      </c>
      <c r="B277" s="76" t="s">
        <v>687</v>
      </c>
      <c r="C277" s="76" t="s">
        <v>356</v>
      </c>
      <c r="D277" s="76" t="s">
        <v>651</v>
      </c>
      <c r="E277" s="77">
        <v>2</v>
      </c>
      <c r="F277" s="103">
        <v>46204</v>
      </c>
      <c r="H277" s="78">
        <v>89000</v>
      </c>
      <c r="J277" s="100">
        <f>IF($F277&lt;DATE(Assumptions!$B$7,1,1),1,IF(YEAR($F277)&gt;Assumptions!$B$7,13,MONTH($F277)))</f>
        <v>7</v>
      </c>
      <c r="K277" s="100">
        <f>IF(OR($G277="",$G277&gt;Assumptions!$B$6),Assumptions!$B$8,IF($G277&lt;DATE(Assumptions!$B$7,1,1),0,MONTH($G277)))</f>
        <v>8</v>
      </c>
      <c r="L277" s="113">
        <f t="shared" si="12"/>
        <v>2</v>
      </c>
      <c r="M277" s="82">
        <f t="shared" si="13"/>
        <v>14833.333333333334</v>
      </c>
      <c r="N277" s="100">
        <f>IF(AND($F277&lt;=Assumptions!$B$6,OR($G277="",$G277&gt;Assumptions!$B$6)),1,0)</f>
        <v>1</v>
      </c>
      <c r="O277" s="82">
        <f t="shared" si="14"/>
        <v>89000</v>
      </c>
    </row>
    <row r="278" spans="1:15" x14ac:dyDescent="0.25">
      <c r="A278" s="76" t="s">
        <v>1309</v>
      </c>
      <c r="B278" s="76" t="s">
        <v>688</v>
      </c>
      <c r="C278" s="76" t="s">
        <v>356</v>
      </c>
      <c r="D278" s="76" t="s">
        <v>654</v>
      </c>
      <c r="E278" s="77">
        <v>1</v>
      </c>
      <c r="F278" s="103">
        <v>44317</v>
      </c>
      <c r="H278" s="78">
        <v>60600</v>
      </c>
      <c r="J278" s="100">
        <f>IF($F278&lt;DATE(Assumptions!$B$7,1,1),1,IF(YEAR($F278)&gt;Assumptions!$B$7,13,MONTH($F278)))</f>
        <v>1</v>
      </c>
      <c r="K278" s="100">
        <f>IF(OR($G278="",$G278&gt;Assumptions!$B$6),Assumptions!$B$8,IF($G278&lt;DATE(Assumptions!$B$7,1,1),0,MONTH($G278)))</f>
        <v>8</v>
      </c>
      <c r="L278" s="113">
        <f t="shared" si="12"/>
        <v>8</v>
      </c>
      <c r="M278" s="82">
        <f t="shared" si="13"/>
        <v>40400</v>
      </c>
      <c r="N278" s="100">
        <f>IF(AND($F278&lt;=Assumptions!$B$6,OR($G278="",$G278&gt;Assumptions!$B$6)),1,0)</f>
        <v>1</v>
      </c>
      <c r="O278" s="82">
        <f t="shared" si="14"/>
        <v>60600</v>
      </c>
    </row>
    <row r="279" spans="1:15" x14ac:dyDescent="0.25">
      <c r="A279" s="76" t="s">
        <v>1310</v>
      </c>
      <c r="B279" s="76" t="s">
        <v>689</v>
      </c>
      <c r="C279" s="76" t="s">
        <v>356</v>
      </c>
      <c r="D279" s="76" t="s">
        <v>651</v>
      </c>
      <c r="E279" s="77">
        <v>2</v>
      </c>
      <c r="F279" s="103">
        <v>46113</v>
      </c>
      <c r="H279" s="78">
        <v>71000</v>
      </c>
      <c r="J279" s="100">
        <f>IF($F279&lt;DATE(Assumptions!$B$7,1,1),1,IF(YEAR($F279)&gt;Assumptions!$B$7,13,MONTH($F279)))</f>
        <v>4</v>
      </c>
      <c r="K279" s="100">
        <f>IF(OR($G279="",$G279&gt;Assumptions!$B$6),Assumptions!$B$8,IF($G279&lt;DATE(Assumptions!$B$7,1,1),0,MONTH($G279)))</f>
        <v>8</v>
      </c>
      <c r="L279" s="113">
        <f t="shared" si="12"/>
        <v>5</v>
      </c>
      <c r="M279" s="82">
        <f t="shared" si="13"/>
        <v>29583.333333333332</v>
      </c>
      <c r="N279" s="100">
        <f>IF(AND($F279&lt;=Assumptions!$B$6,OR($G279="",$G279&gt;Assumptions!$B$6)),1,0)</f>
        <v>1</v>
      </c>
      <c r="O279" s="82">
        <f t="shared" si="14"/>
        <v>71000</v>
      </c>
    </row>
    <row r="280" spans="1:15" x14ac:dyDescent="0.25">
      <c r="A280" s="76" t="s">
        <v>1311</v>
      </c>
      <c r="B280" s="76" t="s">
        <v>690</v>
      </c>
      <c r="C280" s="76" t="s">
        <v>355</v>
      </c>
      <c r="D280" s="76" t="s">
        <v>691</v>
      </c>
      <c r="E280" s="77">
        <v>2</v>
      </c>
      <c r="F280" s="103">
        <v>43647</v>
      </c>
      <c r="H280" s="78">
        <v>87100</v>
      </c>
      <c r="J280" s="100">
        <f>IF($F280&lt;DATE(Assumptions!$B$7,1,1),1,IF(YEAR($F280)&gt;Assumptions!$B$7,13,MONTH($F280)))</f>
        <v>1</v>
      </c>
      <c r="K280" s="100">
        <f>IF(OR($G280="",$G280&gt;Assumptions!$B$6),Assumptions!$B$8,IF($G280&lt;DATE(Assumptions!$B$7,1,1),0,MONTH($G280)))</f>
        <v>8</v>
      </c>
      <c r="L280" s="113">
        <f t="shared" si="12"/>
        <v>8</v>
      </c>
      <c r="M280" s="82">
        <f t="shared" si="13"/>
        <v>58066.666666666664</v>
      </c>
      <c r="N280" s="100">
        <f>IF(AND($F280&lt;=Assumptions!$B$6,OR($G280="",$G280&gt;Assumptions!$B$6)),1,0)</f>
        <v>1</v>
      </c>
      <c r="O280" s="82">
        <f t="shared" si="14"/>
        <v>87100</v>
      </c>
    </row>
    <row r="281" spans="1:15" x14ac:dyDescent="0.25">
      <c r="A281" s="76" t="s">
        <v>1312</v>
      </c>
      <c r="B281" s="76" t="s">
        <v>692</v>
      </c>
      <c r="C281" s="76" t="s">
        <v>355</v>
      </c>
      <c r="D281" s="76" t="s">
        <v>693</v>
      </c>
      <c r="E281" s="77">
        <v>1</v>
      </c>
      <c r="F281" s="103">
        <v>42370</v>
      </c>
      <c r="H281" s="78">
        <v>55200</v>
      </c>
      <c r="J281" s="100">
        <f>IF($F281&lt;DATE(Assumptions!$B$7,1,1),1,IF(YEAR($F281)&gt;Assumptions!$B$7,13,MONTH($F281)))</f>
        <v>1</v>
      </c>
      <c r="K281" s="100">
        <f>IF(OR($G281="",$G281&gt;Assumptions!$B$6),Assumptions!$B$8,IF($G281&lt;DATE(Assumptions!$B$7,1,1),0,MONTH($G281)))</f>
        <v>8</v>
      </c>
      <c r="L281" s="113">
        <f t="shared" si="12"/>
        <v>8</v>
      </c>
      <c r="M281" s="82">
        <f t="shared" si="13"/>
        <v>36800</v>
      </c>
      <c r="N281" s="100">
        <f>IF(AND($F281&lt;=Assumptions!$B$6,OR($G281="",$G281&gt;Assumptions!$B$6)),1,0)</f>
        <v>1</v>
      </c>
      <c r="O281" s="82">
        <f t="shared" si="14"/>
        <v>55200</v>
      </c>
    </row>
    <row r="282" spans="1:15" x14ac:dyDescent="0.25">
      <c r="A282" s="76" t="s">
        <v>1313</v>
      </c>
      <c r="B282" s="76" t="s">
        <v>694</v>
      </c>
      <c r="C282" s="76" t="s">
        <v>355</v>
      </c>
      <c r="D282" s="76" t="s">
        <v>691</v>
      </c>
      <c r="E282" s="77">
        <v>2</v>
      </c>
      <c r="F282" s="103">
        <v>45200</v>
      </c>
      <c r="H282" s="78">
        <v>90700</v>
      </c>
      <c r="J282" s="100">
        <f>IF($F282&lt;DATE(Assumptions!$B$7,1,1),1,IF(YEAR($F282)&gt;Assumptions!$B$7,13,MONTH($F282)))</f>
        <v>1</v>
      </c>
      <c r="K282" s="100">
        <f>IF(OR($G282="",$G282&gt;Assumptions!$B$6),Assumptions!$B$8,IF($G282&lt;DATE(Assumptions!$B$7,1,1),0,MONTH($G282)))</f>
        <v>8</v>
      </c>
      <c r="L282" s="113">
        <f t="shared" si="12"/>
        <v>8</v>
      </c>
      <c r="M282" s="82">
        <f t="shared" si="13"/>
        <v>60466.666666666664</v>
      </c>
      <c r="N282" s="100">
        <f>IF(AND($F282&lt;=Assumptions!$B$6,OR($G282="",$G282&gt;Assumptions!$B$6)),1,0)</f>
        <v>1</v>
      </c>
      <c r="O282" s="82">
        <f t="shared" si="14"/>
        <v>90700</v>
      </c>
    </row>
    <row r="283" spans="1:15" x14ac:dyDescent="0.25">
      <c r="A283" s="76" t="s">
        <v>1314</v>
      </c>
      <c r="B283" s="76" t="s">
        <v>695</v>
      </c>
      <c r="C283" s="76" t="s">
        <v>355</v>
      </c>
      <c r="D283" s="76" t="s">
        <v>693</v>
      </c>
      <c r="E283" s="77">
        <v>1</v>
      </c>
      <c r="F283" s="103">
        <v>45809</v>
      </c>
      <c r="H283" s="78">
        <v>64800</v>
      </c>
      <c r="J283" s="100">
        <f>IF($F283&lt;DATE(Assumptions!$B$7,1,1),1,IF(YEAR($F283)&gt;Assumptions!$B$7,13,MONTH($F283)))</f>
        <v>1</v>
      </c>
      <c r="K283" s="100">
        <f>IF(OR($G283="",$G283&gt;Assumptions!$B$6),Assumptions!$B$8,IF($G283&lt;DATE(Assumptions!$B$7,1,1),0,MONTH($G283)))</f>
        <v>8</v>
      </c>
      <c r="L283" s="113">
        <f t="shared" si="12"/>
        <v>8</v>
      </c>
      <c r="M283" s="82">
        <f t="shared" si="13"/>
        <v>43200</v>
      </c>
      <c r="N283" s="100">
        <f>IF(AND($F283&lt;=Assumptions!$B$6,OR($G283="",$G283&gt;Assumptions!$B$6)),1,0)</f>
        <v>1</v>
      </c>
      <c r="O283" s="82">
        <f t="shared" si="14"/>
        <v>64800</v>
      </c>
    </row>
    <row r="284" spans="1:15" x14ac:dyDescent="0.25">
      <c r="A284" s="76" t="s">
        <v>1315</v>
      </c>
      <c r="B284" s="76" t="s">
        <v>696</v>
      </c>
      <c r="C284" s="76" t="s">
        <v>355</v>
      </c>
      <c r="D284" s="76" t="s">
        <v>693</v>
      </c>
      <c r="E284" s="77">
        <v>1</v>
      </c>
      <c r="F284" s="103">
        <v>44044</v>
      </c>
      <c r="H284" s="78">
        <v>60400</v>
      </c>
      <c r="J284" s="100">
        <f>IF($F284&lt;DATE(Assumptions!$B$7,1,1),1,IF(YEAR($F284)&gt;Assumptions!$B$7,13,MONTH($F284)))</f>
        <v>1</v>
      </c>
      <c r="K284" s="100">
        <f>IF(OR($G284="",$G284&gt;Assumptions!$B$6),Assumptions!$B$8,IF($G284&lt;DATE(Assumptions!$B$7,1,1),0,MONTH($G284)))</f>
        <v>8</v>
      </c>
      <c r="L284" s="113">
        <f t="shared" si="12"/>
        <v>8</v>
      </c>
      <c r="M284" s="82">
        <f t="shared" si="13"/>
        <v>40266.666666666664</v>
      </c>
      <c r="N284" s="100">
        <f>IF(AND($F284&lt;=Assumptions!$B$6,OR($G284="",$G284&gt;Assumptions!$B$6)),1,0)</f>
        <v>1</v>
      </c>
      <c r="O284" s="82">
        <f t="shared" si="14"/>
        <v>60400</v>
      </c>
    </row>
    <row r="285" spans="1:15" x14ac:dyDescent="0.25">
      <c r="A285" s="76" t="s">
        <v>1316</v>
      </c>
      <c r="B285" s="76" t="s">
        <v>697</v>
      </c>
      <c r="C285" s="76" t="s">
        <v>355</v>
      </c>
      <c r="D285" s="76" t="s">
        <v>693</v>
      </c>
      <c r="E285" s="77">
        <v>1</v>
      </c>
      <c r="F285" s="103">
        <v>42278</v>
      </c>
      <c r="H285" s="78">
        <v>51500</v>
      </c>
      <c r="J285" s="100">
        <f>IF($F285&lt;DATE(Assumptions!$B$7,1,1),1,IF(YEAR($F285)&gt;Assumptions!$B$7,13,MONTH($F285)))</f>
        <v>1</v>
      </c>
      <c r="K285" s="100">
        <f>IF(OR($G285="",$G285&gt;Assumptions!$B$6),Assumptions!$B$8,IF($G285&lt;DATE(Assumptions!$B$7,1,1),0,MONTH($G285)))</f>
        <v>8</v>
      </c>
      <c r="L285" s="113">
        <f t="shared" si="12"/>
        <v>8</v>
      </c>
      <c r="M285" s="82">
        <f t="shared" si="13"/>
        <v>34333.333333333336</v>
      </c>
      <c r="N285" s="100">
        <f>IF(AND($F285&lt;=Assumptions!$B$6,OR($G285="",$G285&gt;Assumptions!$B$6)),1,0)</f>
        <v>1</v>
      </c>
      <c r="O285" s="82">
        <f t="shared" si="14"/>
        <v>51500</v>
      </c>
    </row>
    <row r="286" spans="1:15" x14ac:dyDescent="0.25">
      <c r="A286" s="76" t="s">
        <v>1317</v>
      </c>
      <c r="B286" s="76" t="s">
        <v>698</v>
      </c>
      <c r="C286" s="76" t="s">
        <v>355</v>
      </c>
      <c r="D286" s="76" t="s">
        <v>693</v>
      </c>
      <c r="E286" s="77">
        <v>1</v>
      </c>
      <c r="F286" s="103">
        <v>41913</v>
      </c>
      <c r="H286" s="78">
        <v>62100</v>
      </c>
      <c r="J286" s="100">
        <f>IF($F286&lt;DATE(Assumptions!$B$7,1,1),1,IF(YEAR($F286)&gt;Assumptions!$B$7,13,MONTH($F286)))</f>
        <v>1</v>
      </c>
      <c r="K286" s="100">
        <f>IF(OR($G286="",$G286&gt;Assumptions!$B$6),Assumptions!$B$8,IF($G286&lt;DATE(Assumptions!$B$7,1,1),0,MONTH($G286)))</f>
        <v>8</v>
      </c>
      <c r="L286" s="113">
        <f t="shared" si="12"/>
        <v>8</v>
      </c>
      <c r="M286" s="82">
        <f t="shared" si="13"/>
        <v>41400</v>
      </c>
      <c r="N286" s="100">
        <f>IF(AND($F286&lt;=Assumptions!$B$6,OR($G286="",$G286&gt;Assumptions!$B$6)),1,0)</f>
        <v>1</v>
      </c>
      <c r="O286" s="82">
        <f t="shared" si="14"/>
        <v>62100</v>
      </c>
    </row>
    <row r="287" spans="1:15" x14ac:dyDescent="0.25">
      <c r="A287" s="76" t="s">
        <v>1318</v>
      </c>
      <c r="B287" s="76" t="s">
        <v>699</v>
      </c>
      <c r="C287" s="76" t="s">
        <v>355</v>
      </c>
      <c r="D287" s="76" t="s">
        <v>691</v>
      </c>
      <c r="E287" s="77">
        <v>2</v>
      </c>
      <c r="F287" s="103">
        <v>45108</v>
      </c>
      <c r="H287" s="78">
        <v>80000</v>
      </c>
      <c r="J287" s="100">
        <f>IF($F287&lt;DATE(Assumptions!$B$7,1,1),1,IF(YEAR($F287)&gt;Assumptions!$B$7,13,MONTH($F287)))</f>
        <v>1</v>
      </c>
      <c r="K287" s="100">
        <f>IF(OR($G287="",$G287&gt;Assumptions!$B$6),Assumptions!$B$8,IF($G287&lt;DATE(Assumptions!$B$7,1,1),0,MONTH($G287)))</f>
        <v>8</v>
      </c>
      <c r="L287" s="113">
        <f t="shared" si="12"/>
        <v>8</v>
      </c>
      <c r="M287" s="82">
        <f t="shared" si="13"/>
        <v>53333.333333333336</v>
      </c>
      <c r="N287" s="100">
        <f>IF(AND($F287&lt;=Assumptions!$B$6,OR($G287="",$G287&gt;Assumptions!$B$6)),1,0)</f>
        <v>1</v>
      </c>
      <c r="O287" s="82">
        <f t="shared" si="14"/>
        <v>80000</v>
      </c>
    </row>
    <row r="288" spans="1:15" x14ac:dyDescent="0.25">
      <c r="A288" s="76" t="s">
        <v>1319</v>
      </c>
      <c r="B288" s="76" t="s">
        <v>700</v>
      </c>
      <c r="C288" s="76" t="s">
        <v>355</v>
      </c>
      <c r="D288" s="76" t="s">
        <v>693</v>
      </c>
      <c r="E288" s="77">
        <v>1</v>
      </c>
      <c r="F288" s="103">
        <v>44682</v>
      </c>
      <c r="H288" s="78">
        <v>64200</v>
      </c>
      <c r="J288" s="100">
        <f>IF($F288&lt;DATE(Assumptions!$B$7,1,1),1,IF(YEAR($F288)&gt;Assumptions!$B$7,13,MONTH($F288)))</f>
        <v>1</v>
      </c>
      <c r="K288" s="100">
        <f>IF(OR($G288="",$G288&gt;Assumptions!$B$6),Assumptions!$B$8,IF($G288&lt;DATE(Assumptions!$B$7,1,1),0,MONTH($G288)))</f>
        <v>8</v>
      </c>
      <c r="L288" s="113">
        <f t="shared" si="12"/>
        <v>8</v>
      </c>
      <c r="M288" s="82">
        <f t="shared" si="13"/>
        <v>42800</v>
      </c>
      <c r="N288" s="100">
        <f>IF(AND($F288&lt;=Assumptions!$B$6,OR($G288="",$G288&gt;Assumptions!$B$6)),1,0)</f>
        <v>1</v>
      </c>
      <c r="O288" s="82">
        <f t="shared" si="14"/>
        <v>64200</v>
      </c>
    </row>
    <row r="289" spans="1:15" x14ac:dyDescent="0.25">
      <c r="A289" s="76" t="s">
        <v>1320</v>
      </c>
      <c r="B289" s="76" t="s">
        <v>701</v>
      </c>
      <c r="C289" s="76" t="s">
        <v>355</v>
      </c>
      <c r="D289" s="76" t="s">
        <v>702</v>
      </c>
      <c r="E289" s="77">
        <v>3</v>
      </c>
      <c r="F289" s="103">
        <v>43891</v>
      </c>
      <c r="H289" s="78">
        <v>127700</v>
      </c>
      <c r="J289" s="100">
        <f>IF($F289&lt;DATE(Assumptions!$B$7,1,1),1,IF(YEAR($F289)&gt;Assumptions!$B$7,13,MONTH($F289)))</f>
        <v>1</v>
      </c>
      <c r="K289" s="100">
        <f>IF(OR($G289="",$G289&gt;Assumptions!$B$6),Assumptions!$B$8,IF($G289&lt;DATE(Assumptions!$B$7,1,1),0,MONTH($G289)))</f>
        <v>8</v>
      </c>
      <c r="L289" s="113">
        <f t="shared" si="12"/>
        <v>8</v>
      </c>
      <c r="M289" s="82">
        <f t="shared" si="13"/>
        <v>85133.333333333328</v>
      </c>
      <c r="N289" s="100">
        <f>IF(AND($F289&lt;=Assumptions!$B$6,OR($G289="",$G289&gt;Assumptions!$B$6)),1,0)</f>
        <v>1</v>
      </c>
      <c r="O289" s="82">
        <f t="shared" si="14"/>
        <v>127700</v>
      </c>
    </row>
    <row r="290" spans="1:15" x14ac:dyDescent="0.25">
      <c r="A290" s="76" t="s">
        <v>1321</v>
      </c>
      <c r="B290" s="76" t="s">
        <v>703</v>
      </c>
      <c r="C290" s="76" t="s">
        <v>355</v>
      </c>
      <c r="D290" s="76" t="s">
        <v>693</v>
      </c>
      <c r="E290" s="77">
        <v>1</v>
      </c>
      <c r="F290" s="103">
        <v>44774</v>
      </c>
      <c r="H290" s="78">
        <v>53700</v>
      </c>
      <c r="J290" s="100">
        <f>IF($F290&lt;DATE(Assumptions!$B$7,1,1),1,IF(YEAR($F290)&gt;Assumptions!$B$7,13,MONTH($F290)))</f>
        <v>1</v>
      </c>
      <c r="K290" s="100">
        <f>IF(OR($G290="",$G290&gt;Assumptions!$B$6),Assumptions!$B$8,IF($G290&lt;DATE(Assumptions!$B$7,1,1),0,MONTH($G290)))</f>
        <v>8</v>
      </c>
      <c r="L290" s="113">
        <f t="shared" si="12"/>
        <v>8</v>
      </c>
      <c r="M290" s="82">
        <f t="shared" si="13"/>
        <v>35800</v>
      </c>
      <c r="N290" s="100">
        <f>IF(AND($F290&lt;=Assumptions!$B$6,OR($G290="",$G290&gt;Assumptions!$B$6)),1,0)</f>
        <v>1</v>
      </c>
      <c r="O290" s="82">
        <f t="shared" si="14"/>
        <v>53700</v>
      </c>
    </row>
    <row r="291" spans="1:15" x14ac:dyDescent="0.25">
      <c r="A291" s="76" t="s">
        <v>1322</v>
      </c>
      <c r="B291" s="76" t="s">
        <v>704</v>
      </c>
      <c r="C291" s="76" t="s">
        <v>355</v>
      </c>
      <c r="D291" s="76" t="s">
        <v>705</v>
      </c>
      <c r="E291" s="77">
        <v>2</v>
      </c>
      <c r="F291" s="103">
        <v>45536</v>
      </c>
      <c r="H291" s="78">
        <v>77000</v>
      </c>
      <c r="J291" s="100">
        <f>IF($F291&lt;DATE(Assumptions!$B$7,1,1),1,IF(YEAR($F291)&gt;Assumptions!$B$7,13,MONTH($F291)))</f>
        <v>1</v>
      </c>
      <c r="K291" s="100">
        <f>IF(OR($G291="",$G291&gt;Assumptions!$B$6),Assumptions!$B$8,IF($G291&lt;DATE(Assumptions!$B$7,1,1),0,MONTH($G291)))</f>
        <v>8</v>
      </c>
      <c r="L291" s="113">
        <f t="shared" si="12"/>
        <v>8</v>
      </c>
      <c r="M291" s="82">
        <f t="shared" si="13"/>
        <v>51333.333333333336</v>
      </c>
      <c r="N291" s="100">
        <f>IF(AND($F291&lt;=Assumptions!$B$6,OR($G291="",$G291&gt;Assumptions!$B$6)),1,0)</f>
        <v>1</v>
      </c>
      <c r="O291" s="82">
        <f t="shared" si="14"/>
        <v>77000</v>
      </c>
    </row>
    <row r="292" spans="1:15" x14ac:dyDescent="0.25">
      <c r="A292" s="76" t="s">
        <v>1323</v>
      </c>
      <c r="B292" s="76" t="s">
        <v>706</v>
      </c>
      <c r="C292" s="76" t="s">
        <v>355</v>
      </c>
      <c r="D292" s="76" t="s">
        <v>691</v>
      </c>
      <c r="E292" s="77">
        <v>2</v>
      </c>
      <c r="F292" s="103">
        <v>41640</v>
      </c>
      <c r="H292" s="78">
        <v>81700</v>
      </c>
      <c r="J292" s="100">
        <f>IF($F292&lt;DATE(Assumptions!$B$7,1,1),1,IF(YEAR($F292)&gt;Assumptions!$B$7,13,MONTH($F292)))</f>
        <v>1</v>
      </c>
      <c r="K292" s="100">
        <f>IF(OR($G292="",$G292&gt;Assumptions!$B$6),Assumptions!$B$8,IF($G292&lt;DATE(Assumptions!$B$7,1,1),0,MONTH($G292)))</f>
        <v>8</v>
      </c>
      <c r="L292" s="113">
        <f t="shared" si="12"/>
        <v>8</v>
      </c>
      <c r="M292" s="82">
        <f t="shared" si="13"/>
        <v>54466.666666666664</v>
      </c>
      <c r="N292" s="100">
        <f>IF(AND($F292&lt;=Assumptions!$B$6,OR($G292="",$G292&gt;Assumptions!$B$6)),1,0)</f>
        <v>1</v>
      </c>
      <c r="O292" s="82">
        <f t="shared" si="14"/>
        <v>81700</v>
      </c>
    </row>
    <row r="293" spans="1:15" x14ac:dyDescent="0.25">
      <c r="A293" s="76" t="s">
        <v>1324</v>
      </c>
      <c r="B293" s="76" t="s">
        <v>707</v>
      </c>
      <c r="C293" s="76" t="s">
        <v>355</v>
      </c>
      <c r="D293" s="76" t="s">
        <v>693</v>
      </c>
      <c r="E293" s="77">
        <v>1</v>
      </c>
      <c r="F293" s="103">
        <v>42856</v>
      </c>
      <c r="H293" s="78">
        <v>62400</v>
      </c>
      <c r="J293" s="100">
        <f>IF($F293&lt;DATE(Assumptions!$B$7,1,1),1,IF(YEAR($F293)&gt;Assumptions!$B$7,13,MONTH($F293)))</f>
        <v>1</v>
      </c>
      <c r="K293" s="100">
        <f>IF(OR($G293="",$G293&gt;Assumptions!$B$6),Assumptions!$B$8,IF($G293&lt;DATE(Assumptions!$B$7,1,1),0,MONTH($G293)))</f>
        <v>8</v>
      </c>
      <c r="L293" s="113">
        <f t="shared" si="12"/>
        <v>8</v>
      </c>
      <c r="M293" s="82">
        <f t="shared" si="13"/>
        <v>41600</v>
      </c>
      <c r="N293" s="100">
        <f>IF(AND($F293&lt;=Assumptions!$B$6,OR($G293="",$G293&gt;Assumptions!$B$6)),1,0)</f>
        <v>1</v>
      </c>
      <c r="O293" s="82">
        <f t="shared" si="14"/>
        <v>62400</v>
      </c>
    </row>
    <row r="294" spans="1:15" x14ac:dyDescent="0.25">
      <c r="A294" s="76" t="s">
        <v>1325</v>
      </c>
      <c r="B294" s="76" t="s">
        <v>708</v>
      </c>
      <c r="C294" s="76" t="s">
        <v>355</v>
      </c>
      <c r="D294" s="76" t="s">
        <v>693</v>
      </c>
      <c r="E294" s="77">
        <v>1</v>
      </c>
      <c r="F294" s="103">
        <v>43497</v>
      </c>
      <c r="H294" s="78">
        <v>58700</v>
      </c>
      <c r="J294" s="100">
        <f>IF($F294&lt;DATE(Assumptions!$B$7,1,1),1,IF(YEAR($F294)&gt;Assumptions!$B$7,13,MONTH($F294)))</f>
        <v>1</v>
      </c>
      <c r="K294" s="100">
        <f>IF(OR($G294="",$G294&gt;Assumptions!$B$6),Assumptions!$B$8,IF($G294&lt;DATE(Assumptions!$B$7,1,1),0,MONTH($G294)))</f>
        <v>8</v>
      </c>
      <c r="L294" s="113">
        <f t="shared" si="12"/>
        <v>8</v>
      </c>
      <c r="M294" s="82">
        <f t="shared" si="13"/>
        <v>39133.333333333336</v>
      </c>
      <c r="N294" s="100">
        <f>IF(AND($F294&lt;=Assumptions!$B$6,OR($G294="",$G294&gt;Assumptions!$B$6)),1,0)</f>
        <v>1</v>
      </c>
      <c r="O294" s="82">
        <f t="shared" si="14"/>
        <v>58700</v>
      </c>
    </row>
    <row r="295" spans="1:15" x14ac:dyDescent="0.25">
      <c r="A295" s="76" t="s">
        <v>1326</v>
      </c>
      <c r="B295" s="76" t="s">
        <v>709</v>
      </c>
      <c r="C295" s="76" t="s">
        <v>355</v>
      </c>
      <c r="D295" s="76" t="s">
        <v>702</v>
      </c>
      <c r="E295" s="77">
        <v>3</v>
      </c>
      <c r="F295" s="103">
        <v>43556</v>
      </c>
      <c r="H295" s="78">
        <v>101400</v>
      </c>
      <c r="J295" s="100">
        <f>IF($F295&lt;DATE(Assumptions!$B$7,1,1),1,IF(YEAR($F295)&gt;Assumptions!$B$7,13,MONTH($F295)))</f>
        <v>1</v>
      </c>
      <c r="K295" s="100">
        <f>IF(OR($G295="",$G295&gt;Assumptions!$B$6),Assumptions!$B$8,IF($G295&lt;DATE(Assumptions!$B$7,1,1),0,MONTH($G295)))</f>
        <v>8</v>
      </c>
      <c r="L295" s="113">
        <f t="shared" si="12"/>
        <v>8</v>
      </c>
      <c r="M295" s="82">
        <f t="shared" si="13"/>
        <v>67600</v>
      </c>
      <c r="N295" s="100">
        <f>IF(AND($F295&lt;=Assumptions!$B$6,OR($G295="",$G295&gt;Assumptions!$B$6)),1,0)</f>
        <v>1</v>
      </c>
      <c r="O295" s="82">
        <f t="shared" si="14"/>
        <v>101400</v>
      </c>
    </row>
    <row r="296" spans="1:15" x14ac:dyDescent="0.25">
      <c r="A296" s="76" t="s">
        <v>1327</v>
      </c>
      <c r="B296" s="76" t="s">
        <v>710</v>
      </c>
      <c r="C296" s="76" t="s">
        <v>355</v>
      </c>
      <c r="D296" s="76" t="s">
        <v>693</v>
      </c>
      <c r="E296" s="77">
        <v>1</v>
      </c>
      <c r="F296" s="103">
        <v>45474</v>
      </c>
      <c r="H296" s="78">
        <v>61800</v>
      </c>
      <c r="J296" s="100">
        <f>IF($F296&lt;DATE(Assumptions!$B$7,1,1),1,IF(YEAR($F296)&gt;Assumptions!$B$7,13,MONTH($F296)))</f>
        <v>1</v>
      </c>
      <c r="K296" s="100">
        <f>IF(OR($G296="",$G296&gt;Assumptions!$B$6),Assumptions!$B$8,IF($G296&lt;DATE(Assumptions!$B$7,1,1),0,MONTH($G296)))</f>
        <v>8</v>
      </c>
      <c r="L296" s="113">
        <f t="shared" si="12"/>
        <v>8</v>
      </c>
      <c r="M296" s="82">
        <f t="shared" si="13"/>
        <v>41200</v>
      </c>
      <c r="N296" s="100">
        <f>IF(AND($F296&lt;=Assumptions!$B$6,OR($G296="",$G296&gt;Assumptions!$B$6)),1,0)</f>
        <v>1</v>
      </c>
      <c r="O296" s="82">
        <f t="shared" si="14"/>
        <v>61800</v>
      </c>
    </row>
    <row r="297" spans="1:15" x14ac:dyDescent="0.25">
      <c r="A297" s="76" t="s">
        <v>1328</v>
      </c>
      <c r="B297" s="76" t="s">
        <v>711</v>
      </c>
      <c r="C297" s="76" t="s">
        <v>355</v>
      </c>
      <c r="D297" s="76" t="s">
        <v>693</v>
      </c>
      <c r="E297" s="77">
        <v>1</v>
      </c>
      <c r="F297" s="103">
        <v>42491</v>
      </c>
      <c r="H297" s="78">
        <v>55000</v>
      </c>
      <c r="J297" s="100">
        <f>IF($F297&lt;DATE(Assumptions!$B$7,1,1),1,IF(YEAR($F297)&gt;Assumptions!$B$7,13,MONTH($F297)))</f>
        <v>1</v>
      </c>
      <c r="K297" s="100">
        <f>IF(OR($G297="",$G297&gt;Assumptions!$B$6),Assumptions!$B$8,IF($G297&lt;DATE(Assumptions!$B$7,1,1),0,MONTH($G297)))</f>
        <v>8</v>
      </c>
      <c r="L297" s="113">
        <f t="shared" si="12"/>
        <v>8</v>
      </c>
      <c r="M297" s="82">
        <f t="shared" si="13"/>
        <v>36666.666666666664</v>
      </c>
      <c r="N297" s="100">
        <f>IF(AND($F297&lt;=Assumptions!$B$6,OR($G297="",$G297&gt;Assumptions!$B$6)),1,0)</f>
        <v>1</v>
      </c>
      <c r="O297" s="82">
        <f t="shared" si="14"/>
        <v>55000</v>
      </c>
    </row>
    <row r="298" spans="1:15" x14ac:dyDescent="0.25">
      <c r="A298" s="76" t="s">
        <v>1329</v>
      </c>
      <c r="B298" s="76" t="s">
        <v>712</v>
      </c>
      <c r="C298" s="76" t="s">
        <v>355</v>
      </c>
      <c r="D298" s="76" t="s">
        <v>713</v>
      </c>
      <c r="E298" s="77">
        <v>4</v>
      </c>
      <c r="F298" s="103">
        <v>45931</v>
      </c>
      <c r="H298" s="78">
        <v>169400</v>
      </c>
      <c r="J298" s="100">
        <f>IF($F298&lt;DATE(Assumptions!$B$7,1,1),1,IF(YEAR($F298)&gt;Assumptions!$B$7,13,MONTH($F298)))</f>
        <v>1</v>
      </c>
      <c r="K298" s="100">
        <f>IF(OR($G298="",$G298&gt;Assumptions!$B$6),Assumptions!$B$8,IF($G298&lt;DATE(Assumptions!$B$7,1,1),0,MONTH($G298)))</f>
        <v>8</v>
      </c>
      <c r="L298" s="113">
        <f t="shared" si="12"/>
        <v>8</v>
      </c>
      <c r="M298" s="82">
        <f t="shared" si="13"/>
        <v>112933.33333333333</v>
      </c>
      <c r="N298" s="100">
        <f>IF(AND($F298&lt;=Assumptions!$B$6,OR($G298="",$G298&gt;Assumptions!$B$6)),1,0)</f>
        <v>1</v>
      </c>
      <c r="O298" s="82">
        <f t="shared" si="14"/>
        <v>169400</v>
      </c>
    </row>
    <row r="299" spans="1:15" x14ac:dyDescent="0.25">
      <c r="A299" s="76" t="s">
        <v>1330</v>
      </c>
      <c r="B299" s="76" t="s">
        <v>714</v>
      </c>
      <c r="C299" s="76" t="s">
        <v>355</v>
      </c>
      <c r="D299" s="76" t="s">
        <v>702</v>
      </c>
      <c r="E299" s="77">
        <v>3</v>
      </c>
      <c r="F299" s="103">
        <v>45809</v>
      </c>
      <c r="H299" s="78">
        <v>120500</v>
      </c>
      <c r="J299" s="100">
        <f>IF($F299&lt;DATE(Assumptions!$B$7,1,1),1,IF(YEAR($F299)&gt;Assumptions!$B$7,13,MONTH($F299)))</f>
        <v>1</v>
      </c>
      <c r="K299" s="100">
        <f>IF(OR($G299="",$G299&gt;Assumptions!$B$6),Assumptions!$B$8,IF($G299&lt;DATE(Assumptions!$B$7,1,1),0,MONTH($G299)))</f>
        <v>8</v>
      </c>
      <c r="L299" s="113">
        <f t="shared" si="12"/>
        <v>8</v>
      </c>
      <c r="M299" s="82">
        <f t="shared" si="13"/>
        <v>80333.333333333328</v>
      </c>
      <c r="N299" s="100">
        <f>IF(AND($F299&lt;=Assumptions!$B$6,OR($G299="",$G299&gt;Assumptions!$B$6)),1,0)</f>
        <v>1</v>
      </c>
      <c r="O299" s="82">
        <f t="shared" si="14"/>
        <v>120500</v>
      </c>
    </row>
    <row r="300" spans="1:15" x14ac:dyDescent="0.25">
      <c r="A300" s="76" t="s">
        <v>1331</v>
      </c>
      <c r="B300" s="76" t="s">
        <v>715</v>
      </c>
      <c r="C300" s="76" t="s">
        <v>355</v>
      </c>
      <c r="D300" s="76" t="s">
        <v>691</v>
      </c>
      <c r="E300" s="77">
        <v>2</v>
      </c>
      <c r="F300" s="103">
        <v>42948</v>
      </c>
      <c r="H300" s="78">
        <v>94100</v>
      </c>
      <c r="J300" s="100">
        <f>IF($F300&lt;DATE(Assumptions!$B$7,1,1),1,IF(YEAR($F300)&gt;Assumptions!$B$7,13,MONTH($F300)))</f>
        <v>1</v>
      </c>
      <c r="K300" s="100">
        <f>IF(OR($G300="",$G300&gt;Assumptions!$B$6),Assumptions!$B$8,IF($G300&lt;DATE(Assumptions!$B$7,1,1),0,MONTH($G300)))</f>
        <v>8</v>
      </c>
      <c r="L300" s="113">
        <f t="shared" si="12"/>
        <v>8</v>
      </c>
      <c r="M300" s="82">
        <f t="shared" si="13"/>
        <v>62733.333333333336</v>
      </c>
      <c r="N300" s="100">
        <f>IF(AND($F300&lt;=Assumptions!$B$6,OR($G300="",$G300&gt;Assumptions!$B$6)),1,0)</f>
        <v>1</v>
      </c>
      <c r="O300" s="82">
        <f t="shared" si="14"/>
        <v>94100</v>
      </c>
    </row>
    <row r="301" spans="1:15" x14ac:dyDescent="0.25">
      <c r="A301" s="76" t="s">
        <v>1332</v>
      </c>
      <c r="B301" s="76" t="s">
        <v>716</v>
      </c>
      <c r="C301" s="76" t="s">
        <v>355</v>
      </c>
      <c r="D301" s="76" t="s">
        <v>691</v>
      </c>
      <c r="E301" s="77">
        <v>2</v>
      </c>
      <c r="F301" s="103">
        <v>41671</v>
      </c>
      <c r="H301" s="78">
        <v>83600</v>
      </c>
      <c r="J301" s="100">
        <f>IF($F301&lt;DATE(Assumptions!$B$7,1,1),1,IF(YEAR($F301)&gt;Assumptions!$B$7,13,MONTH($F301)))</f>
        <v>1</v>
      </c>
      <c r="K301" s="100">
        <f>IF(OR($G301="",$G301&gt;Assumptions!$B$6),Assumptions!$B$8,IF($G301&lt;DATE(Assumptions!$B$7,1,1),0,MONTH($G301)))</f>
        <v>8</v>
      </c>
      <c r="L301" s="113">
        <f t="shared" si="12"/>
        <v>8</v>
      </c>
      <c r="M301" s="82">
        <f t="shared" si="13"/>
        <v>55733.333333333336</v>
      </c>
      <c r="N301" s="100">
        <f>IF(AND($F301&lt;=Assumptions!$B$6,OR($G301="",$G301&gt;Assumptions!$B$6)),1,0)</f>
        <v>1</v>
      </c>
      <c r="O301" s="82">
        <f t="shared" si="14"/>
        <v>83600</v>
      </c>
    </row>
    <row r="302" spans="1:15" x14ac:dyDescent="0.25">
      <c r="A302" s="76" t="s">
        <v>1333</v>
      </c>
      <c r="B302" s="76" t="s">
        <v>717</v>
      </c>
      <c r="C302" s="76" t="s">
        <v>355</v>
      </c>
      <c r="D302" s="76" t="s">
        <v>693</v>
      </c>
      <c r="E302" s="77">
        <v>1</v>
      </c>
      <c r="F302" s="103">
        <v>41791</v>
      </c>
      <c r="H302" s="78">
        <v>67500</v>
      </c>
      <c r="J302" s="100">
        <f>IF($F302&lt;DATE(Assumptions!$B$7,1,1),1,IF(YEAR($F302)&gt;Assumptions!$B$7,13,MONTH($F302)))</f>
        <v>1</v>
      </c>
      <c r="K302" s="100">
        <f>IF(OR($G302="",$G302&gt;Assumptions!$B$6),Assumptions!$B$8,IF($G302&lt;DATE(Assumptions!$B$7,1,1),0,MONTH($G302)))</f>
        <v>8</v>
      </c>
      <c r="L302" s="113">
        <f t="shared" si="12"/>
        <v>8</v>
      </c>
      <c r="M302" s="82">
        <f t="shared" si="13"/>
        <v>45000</v>
      </c>
      <c r="N302" s="100">
        <f>IF(AND($F302&lt;=Assumptions!$B$6,OR($G302="",$G302&gt;Assumptions!$B$6)),1,0)</f>
        <v>1</v>
      </c>
      <c r="O302" s="82">
        <f t="shared" si="14"/>
        <v>67500</v>
      </c>
    </row>
    <row r="303" spans="1:15" x14ac:dyDescent="0.25">
      <c r="A303" s="76" t="s">
        <v>1334</v>
      </c>
      <c r="B303" s="76" t="s">
        <v>718</v>
      </c>
      <c r="C303" s="76" t="s">
        <v>355</v>
      </c>
      <c r="D303" s="76" t="s">
        <v>691</v>
      </c>
      <c r="E303" s="77">
        <v>2</v>
      </c>
      <c r="F303" s="103">
        <v>45566</v>
      </c>
      <c r="H303" s="78">
        <v>79200</v>
      </c>
      <c r="J303" s="100">
        <f>IF($F303&lt;DATE(Assumptions!$B$7,1,1),1,IF(YEAR($F303)&gt;Assumptions!$B$7,13,MONTH($F303)))</f>
        <v>1</v>
      </c>
      <c r="K303" s="100">
        <f>IF(OR($G303="",$G303&gt;Assumptions!$B$6),Assumptions!$B$8,IF($G303&lt;DATE(Assumptions!$B$7,1,1),0,MONTH($G303)))</f>
        <v>8</v>
      </c>
      <c r="L303" s="113">
        <f t="shared" si="12"/>
        <v>8</v>
      </c>
      <c r="M303" s="82">
        <f t="shared" si="13"/>
        <v>52800</v>
      </c>
      <c r="N303" s="100">
        <f>IF(AND($F303&lt;=Assumptions!$B$6,OR($G303="",$G303&gt;Assumptions!$B$6)),1,0)</f>
        <v>1</v>
      </c>
      <c r="O303" s="82">
        <f t="shared" si="14"/>
        <v>79200</v>
      </c>
    </row>
    <row r="304" spans="1:15" x14ac:dyDescent="0.25">
      <c r="A304" s="76" t="s">
        <v>1335</v>
      </c>
      <c r="B304" s="76" t="s">
        <v>719</v>
      </c>
      <c r="C304" s="76" t="s">
        <v>355</v>
      </c>
      <c r="D304" s="76" t="s">
        <v>693</v>
      </c>
      <c r="E304" s="77">
        <v>1</v>
      </c>
      <c r="F304" s="103">
        <v>44593</v>
      </c>
      <c r="H304" s="78">
        <v>57600</v>
      </c>
      <c r="J304" s="100">
        <f>IF($F304&lt;DATE(Assumptions!$B$7,1,1),1,IF(YEAR($F304)&gt;Assumptions!$B$7,13,MONTH($F304)))</f>
        <v>1</v>
      </c>
      <c r="K304" s="100">
        <f>IF(OR($G304="",$G304&gt;Assumptions!$B$6),Assumptions!$B$8,IF($G304&lt;DATE(Assumptions!$B$7,1,1),0,MONTH($G304)))</f>
        <v>8</v>
      </c>
      <c r="L304" s="113">
        <f t="shared" si="12"/>
        <v>8</v>
      </c>
      <c r="M304" s="82">
        <f t="shared" si="13"/>
        <v>38400</v>
      </c>
      <c r="N304" s="100">
        <f>IF(AND($F304&lt;=Assumptions!$B$6,OR($G304="",$G304&gt;Assumptions!$B$6)),1,0)</f>
        <v>1</v>
      </c>
      <c r="O304" s="82">
        <f t="shared" si="14"/>
        <v>57600</v>
      </c>
    </row>
    <row r="305" spans="1:15" x14ac:dyDescent="0.25">
      <c r="A305" s="76" t="s">
        <v>1336</v>
      </c>
      <c r="B305" s="76" t="s">
        <v>720</v>
      </c>
      <c r="C305" s="76" t="s">
        <v>355</v>
      </c>
      <c r="D305" s="76" t="s">
        <v>691</v>
      </c>
      <c r="E305" s="77">
        <v>2</v>
      </c>
      <c r="F305" s="103">
        <v>45323</v>
      </c>
      <c r="H305" s="78">
        <v>85600</v>
      </c>
      <c r="J305" s="100">
        <f>IF($F305&lt;DATE(Assumptions!$B$7,1,1),1,IF(YEAR($F305)&gt;Assumptions!$B$7,13,MONTH($F305)))</f>
        <v>1</v>
      </c>
      <c r="K305" s="100">
        <f>IF(OR($G305="",$G305&gt;Assumptions!$B$6),Assumptions!$B$8,IF($G305&lt;DATE(Assumptions!$B$7,1,1),0,MONTH($G305)))</f>
        <v>8</v>
      </c>
      <c r="L305" s="113">
        <f t="shared" si="12"/>
        <v>8</v>
      </c>
      <c r="M305" s="82">
        <f t="shared" si="13"/>
        <v>57066.666666666664</v>
      </c>
      <c r="N305" s="100">
        <f>IF(AND($F305&lt;=Assumptions!$B$6,OR($G305="",$G305&gt;Assumptions!$B$6)),1,0)</f>
        <v>1</v>
      </c>
      <c r="O305" s="82">
        <f t="shared" si="14"/>
        <v>85600</v>
      </c>
    </row>
    <row r="306" spans="1:15" x14ac:dyDescent="0.25">
      <c r="A306" s="76" t="s">
        <v>1337</v>
      </c>
      <c r="B306" s="76" t="s">
        <v>721</v>
      </c>
      <c r="C306" s="76" t="s">
        <v>355</v>
      </c>
      <c r="D306" s="76" t="s">
        <v>705</v>
      </c>
      <c r="E306" s="77">
        <v>2</v>
      </c>
      <c r="F306" s="103">
        <v>43891</v>
      </c>
      <c r="H306" s="78">
        <v>92200</v>
      </c>
      <c r="J306" s="100">
        <f>IF($F306&lt;DATE(Assumptions!$B$7,1,1),1,IF(YEAR($F306)&gt;Assumptions!$B$7,13,MONTH($F306)))</f>
        <v>1</v>
      </c>
      <c r="K306" s="100">
        <f>IF(OR($G306="",$G306&gt;Assumptions!$B$6),Assumptions!$B$8,IF($G306&lt;DATE(Assumptions!$B$7,1,1),0,MONTH($G306)))</f>
        <v>8</v>
      </c>
      <c r="L306" s="113">
        <f t="shared" si="12"/>
        <v>8</v>
      </c>
      <c r="M306" s="82">
        <f t="shared" si="13"/>
        <v>61466.666666666664</v>
      </c>
      <c r="N306" s="100">
        <f>IF(AND($F306&lt;=Assumptions!$B$6,OR($G306="",$G306&gt;Assumptions!$B$6)),1,0)</f>
        <v>1</v>
      </c>
      <c r="O306" s="82">
        <f t="shared" si="14"/>
        <v>92200</v>
      </c>
    </row>
    <row r="307" spans="1:15" x14ac:dyDescent="0.25">
      <c r="A307" s="76" t="s">
        <v>1338</v>
      </c>
      <c r="B307" s="76" t="s">
        <v>722</v>
      </c>
      <c r="C307" s="76" t="s">
        <v>355</v>
      </c>
      <c r="D307" s="76" t="s">
        <v>693</v>
      </c>
      <c r="E307" s="77">
        <v>1</v>
      </c>
      <c r="F307" s="103">
        <v>45170</v>
      </c>
      <c r="H307" s="78">
        <v>54300</v>
      </c>
      <c r="J307" s="100">
        <f>IF($F307&lt;DATE(Assumptions!$B$7,1,1),1,IF(YEAR($F307)&gt;Assumptions!$B$7,13,MONTH($F307)))</f>
        <v>1</v>
      </c>
      <c r="K307" s="100">
        <f>IF(OR($G307="",$G307&gt;Assumptions!$B$6),Assumptions!$B$8,IF($G307&lt;DATE(Assumptions!$B$7,1,1),0,MONTH($G307)))</f>
        <v>8</v>
      </c>
      <c r="L307" s="113">
        <f t="shared" si="12"/>
        <v>8</v>
      </c>
      <c r="M307" s="82">
        <f t="shared" si="13"/>
        <v>36200</v>
      </c>
      <c r="N307" s="100">
        <f>IF(AND($F307&lt;=Assumptions!$B$6,OR($G307="",$G307&gt;Assumptions!$B$6)),1,0)</f>
        <v>1</v>
      </c>
      <c r="O307" s="82">
        <f t="shared" si="14"/>
        <v>54300</v>
      </c>
    </row>
    <row r="308" spans="1:15" x14ac:dyDescent="0.25">
      <c r="A308" s="76" t="s">
        <v>1339</v>
      </c>
      <c r="B308" s="76" t="s">
        <v>723</v>
      </c>
      <c r="C308" s="76" t="s">
        <v>355</v>
      </c>
      <c r="D308" s="76" t="s">
        <v>693</v>
      </c>
      <c r="E308" s="77">
        <v>1</v>
      </c>
      <c r="F308" s="103">
        <v>41852</v>
      </c>
      <c r="G308" s="103">
        <v>46173</v>
      </c>
      <c r="H308" s="78">
        <v>68000</v>
      </c>
      <c r="J308" s="100">
        <f>IF($F308&lt;DATE(Assumptions!$B$7,1,1),1,IF(YEAR($F308)&gt;Assumptions!$B$7,13,MONTH($F308)))</f>
        <v>1</v>
      </c>
      <c r="K308" s="100">
        <f>IF(OR($G308="",$G308&gt;Assumptions!$B$6),Assumptions!$B$8,IF($G308&lt;DATE(Assumptions!$B$7,1,1),0,MONTH($G308)))</f>
        <v>5</v>
      </c>
      <c r="L308" s="113">
        <f t="shared" si="12"/>
        <v>5</v>
      </c>
      <c r="M308" s="82">
        <f t="shared" si="13"/>
        <v>28333.333333333332</v>
      </c>
      <c r="N308" s="100">
        <f>IF(AND($F308&lt;=Assumptions!$B$6,OR($G308="",$G308&gt;Assumptions!$B$6)),1,0)</f>
        <v>0</v>
      </c>
      <c r="O308" s="82">
        <f t="shared" si="14"/>
        <v>0</v>
      </c>
    </row>
    <row r="309" spans="1:15" x14ac:dyDescent="0.25">
      <c r="A309" s="76" t="s">
        <v>1340</v>
      </c>
      <c r="B309" s="76" t="s">
        <v>723</v>
      </c>
      <c r="C309" s="76" t="s">
        <v>355</v>
      </c>
      <c r="D309" s="76" t="s">
        <v>693</v>
      </c>
      <c r="E309" s="77">
        <v>1</v>
      </c>
      <c r="F309" s="103">
        <v>46235</v>
      </c>
      <c r="H309" s="78">
        <v>70500</v>
      </c>
      <c r="J309" s="100">
        <f>IF($F309&lt;DATE(Assumptions!$B$7,1,1),1,IF(YEAR($F309)&gt;Assumptions!$B$7,13,MONTH($F309)))</f>
        <v>8</v>
      </c>
      <c r="K309" s="100">
        <f>IF(OR($G309="",$G309&gt;Assumptions!$B$6),Assumptions!$B$8,IF($G309&lt;DATE(Assumptions!$B$7,1,1),0,MONTH($G309)))</f>
        <v>8</v>
      </c>
      <c r="L309" s="113">
        <f t="shared" si="12"/>
        <v>1</v>
      </c>
      <c r="M309" s="82">
        <f t="shared" si="13"/>
        <v>5875</v>
      </c>
      <c r="N309" s="100">
        <f>IF(AND($F309&lt;=Assumptions!$B$6,OR($G309="",$G309&gt;Assumptions!$B$6)),1,0)</f>
        <v>1</v>
      </c>
      <c r="O309" s="82">
        <f t="shared" si="14"/>
        <v>70500</v>
      </c>
    </row>
    <row r="310" spans="1:15" x14ac:dyDescent="0.25">
      <c r="A310" s="76" t="s">
        <v>1341</v>
      </c>
      <c r="B310" s="76" t="s">
        <v>724</v>
      </c>
      <c r="C310" s="76" t="s">
        <v>355</v>
      </c>
      <c r="D310" s="76" t="s">
        <v>713</v>
      </c>
      <c r="E310" s="77">
        <v>4</v>
      </c>
      <c r="F310" s="103">
        <v>44105</v>
      </c>
      <c r="H310" s="78">
        <v>171100</v>
      </c>
      <c r="J310" s="100">
        <f>IF($F310&lt;DATE(Assumptions!$B$7,1,1),1,IF(YEAR($F310)&gt;Assumptions!$B$7,13,MONTH($F310)))</f>
        <v>1</v>
      </c>
      <c r="K310" s="100">
        <f>IF(OR($G310="",$G310&gt;Assumptions!$B$6),Assumptions!$B$8,IF($G310&lt;DATE(Assumptions!$B$7,1,1),0,MONTH($G310)))</f>
        <v>8</v>
      </c>
      <c r="L310" s="113">
        <f t="shared" si="12"/>
        <v>8</v>
      </c>
      <c r="M310" s="82">
        <f t="shared" si="13"/>
        <v>114066.66666666667</v>
      </c>
      <c r="N310" s="100">
        <f>IF(AND($F310&lt;=Assumptions!$B$6,OR($G310="",$G310&gt;Assumptions!$B$6)),1,0)</f>
        <v>1</v>
      </c>
      <c r="O310" s="82">
        <f t="shared" si="14"/>
        <v>171100</v>
      </c>
    </row>
    <row r="311" spans="1:15" x14ac:dyDescent="0.25">
      <c r="A311" s="76" t="s">
        <v>1342</v>
      </c>
      <c r="B311" s="76" t="s">
        <v>725</v>
      </c>
      <c r="C311" s="76" t="s">
        <v>355</v>
      </c>
      <c r="D311" s="76" t="s">
        <v>693</v>
      </c>
      <c r="E311" s="77">
        <v>1</v>
      </c>
      <c r="F311" s="103">
        <v>42125</v>
      </c>
      <c r="H311" s="78">
        <v>54200</v>
      </c>
      <c r="J311" s="100">
        <f>IF($F311&lt;DATE(Assumptions!$B$7,1,1),1,IF(YEAR($F311)&gt;Assumptions!$B$7,13,MONTH($F311)))</f>
        <v>1</v>
      </c>
      <c r="K311" s="100">
        <f>IF(OR($G311="",$G311&gt;Assumptions!$B$6),Assumptions!$B$8,IF($G311&lt;DATE(Assumptions!$B$7,1,1),0,MONTH($G311)))</f>
        <v>8</v>
      </c>
      <c r="L311" s="113">
        <f t="shared" si="12"/>
        <v>8</v>
      </c>
      <c r="M311" s="82">
        <f t="shared" si="13"/>
        <v>36133.333333333336</v>
      </c>
      <c r="N311" s="100">
        <f>IF(AND($F311&lt;=Assumptions!$B$6,OR($G311="",$G311&gt;Assumptions!$B$6)),1,0)</f>
        <v>1</v>
      </c>
      <c r="O311" s="82">
        <f t="shared" si="14"/>
        <v>54200</v>
      </c>
    </row>
    <row r="312" spans="1:15" x14ac:dyDescent="0.25">
      <c r="A312" s="76" t="s">
        <v>1343</v>
      </c>
      <c r="B312" s="76" t="s">
        <v>726</v>
      </c>
      <c r="C312" s="76" t="s">
        <v>355</v>
      </c>
      <c r="D312" s="76" t="s">
        <v>693</v>
      </c>
      <c r="E312" s="77">
        <v>1</v>
      </c>
      <c r="F312" s="103">
        <v>42767</v>
      </c>
      <c r="H312" s="78">
        <v>64200</v>
      </c>
      <c r="J312" s="100">
        <f>IF($F312&lt;DATE(Assumptions!$B$7,1,1),1,IF(YEAR($F312)&gt;Assumptions!$B$7,13,MONTH($F312)))</f>
        <v>1</v>
      </c>
      <c r="K312" s="100">
        <f>IF(OR($G312="",$G312&gt;Assumptions!$B$6),Assumptions!$B$8,IF($G312&lt;DATE(Assumptions!$B$7,1,1),0,MONTH($G312)))</f>
        <v>8</v>
      </c>
      <c r="L312" s="113">
        <f t="shared" si="12"/>
        <v>8</v>
      </c>
      <c r="M312" s="82">
        <f t="shared" si="13"/>
        <v>42800</v>
      </c>
      <c r="N312" s="100">
        <f>IF(AND($F312&lt;=Assumptions!$B$6,OR($G312="",$G312&gt;Assumptions!$B$6)),1,0)</f>
        <v>1</v>
      </c>
      <c r="O312" s="82">
        <f t="shared" si="14"/>
        <v>64200</v>
      </c>
    </row>
    <row r="313" spans="1:15" x14ac:dyDescent="0.25">
      <c r="A313" s="76" t="s">
        <v>1344</v>
      </c>
      <c r="B313" s="76" t="s">
        <v>727</v>
      </c>
      <c r="C313" s="76" t="s">
        <v>355</v>
      </c>
      <c r="D313" s="76" t="s">
        <v>693</v>
      </c>
      <c r="E313" s="77">
        <v>1</v>
      </c>
      <c r="F313" s="103">
        <v>43497</v>
      </c>
      <c r="H313" s="78">
        <v>60200</v>
      </c>
      <c r="J313" s="100">
        <f>IF($F313&lt;DATE(Assumptions!$B$7,1,1),1,IF(YEAR($F313)&gt;Assumptions!$B$7,13,MONTH($F313)))</f>
        <v>1</v>
      </c>
      <c r="K313" s="100">
        <f>IF(OR($G313="",$G313&gt;Assumptions!$B$6),Assumptions!$B$8,IF($G313&lt;DATE(Assumptions!$B$7,1,1),0,MONTH($G313)))</f>
        <v>8</v>
      </c>
      <c r="L313" s="113">
        <f t="shared" si="12"/>
        <v>8</v>
      </c>
      <c r="M313" s="82">
        <f t="shared" si="13"/>
        <v>40133.333333333336</v>
      </c>
      <c r="N313" s="100">
        <f>IF(AND($F313&lt;=Assumptions!$B$6,OR($G313="",$G313&gt;Assumptions!$B$6)),1,0)</f>
        <v>1</v>
      </c>
      <c r="O313" s="82">
        <f t="shared" si="14"/>
        <v>60200</v>
      </c>
    </row>
    <row r="314" spans="1:15" x14ac:dyDescent="0.25">
      <c r="A314" s="76" t="s">
        <v>1345</v>
      </c>
      <c r="B314" s="76" t="s">
        <v>728</v>
      </c>
      <c r="C314" s="76" t="s">
        <v>355</v>
      </c>
      <c r="D314" s="76" t="s">
        <v>693</v>
      </c>
      <c r="E314" s="77">
        <v>1</v>
      </c>
      <c r="F314" s="103">
        <v>44682</v>
      </c>
      <c r="H314" s="78">
        <v>68600</v>
      </c>
      <c r="J314" s="100">
        <f>IF($F314&lt;DATE(Assumptions!$B$7,1,1),1,IF(YEAR($F314)&gt;Assumptions!$B$7,13,MONTH($F314)))</f>
        <v>1</v>
      </c>
      <c r="K314" s="100">
        <f>IF(OR($G314="",$G314&gt;Assumptions!$B$6),Assumptions!$B$8,IF($G314&lt;DATE(Assumptions!$B$7,1,1),0,MONTH($G314)))</f>
        <v>8</v>
      </c>
      <c r="L314" s="113">
        <f t="shared" si="12"/>
        <v>8</v>
      </c>
      <c r="M314" s="82">
        <f t="shared" si="13"/>
        <v>45733.333333333336</v>
      </c>
      <c r="N314" s="100">
        <f>IF(AND($F314&lt;=Assumptions!$B$6,OR($G314="",$G314&gt;Assumptions!$B$6)),1,0)</f>
        <v>1</v>
      </c>
      <c r="O314" s="82">
        <f t="shared" si="14"/>
        <v>68600</v>
      </c>
    </row>
    <row r="315" spans="1:15" x14ac:dyDescent="0.25">
      <c r="A315" s="76" t="s">
        <v>1346</v>
      </c>
      <c r="B315" s="76" t="s">
        <v>729</v>
      </c>
      <c r="C315" s="76" t="s">
        <v>355</v>
      </c>
      <c r="D315" s="76" t="s">
        <v>691</v>
      </c>
      <c r="E315" s="77">
        <v>2</v>
      </c>
      <c r="F315" s="103">
        <v>44409</v>
      </c>
      <c r="H315" s="78">
        <v>86800</v>
      </c>
      <c r="J315" s="100">
        <f>IF($F315&lt;DATE(Assumptions!$B$7,1,1),1,IF(YEAR($F315)&gt;Assumptions!$B$7,13,MONTH($F315)))</f>
        <v>1</v>
      </c>
      <c r="K315" s="100">
        <f>IF(OR($G315="",$G315&gt;Assumptions!$B$6),Assumptions!$B$8,IF($G315&lt;DATE(Assumptions!$B$7,1,1),0,MONTH($G315)))</f>
        <v>8</v>
      </c>
      <c r="L315" s="113">
        <f t="shared" si="12"/>
        <v>8</v>
      </c>
      <c r="M315" s="82">
        <f t="shared" si="13"/>
        <v>57866.666666666664</v>
      </c>
      <c r="N315" s="100">
        <f>IF(AND($F315&lt;=Assumptions!$B$6,OR($G315="",$G315&gt;Assumptions!$B$6)),1,0)</f>
        <v>1</v>
      </c>
      <c r="O315" s="82">
        <f t="shared" si="14"/>
        <v>86800</v>
      </c>
    </row>
    <row r="316" spans="1:15" x14ac:dyDescent="0.25">
      <c r="A316" s="76" t="s">
        <v>1347</v>
      </c>
      <c r="B316" s="76" t="s">
        <v>730</v>
      </c>
      <c r="C316" s="76" t="s">
        <v>355</v>
      </c>
      <c r="D316" s="76" t="s">
        <v>693</v>
      </c>
      <c r="E316" s="77">
        <v>1</v>
      </c>
      <c r="F316" s="103">
        <v>44562</v>
      </c>
      <c r="H316" s="78">
        <v>66300</v>
      </c>
      <c r="J316" s="100">
        <f>IF($F316&lt;DATE(Assumptions!$B$7,1,1),1,IF(YEAR($F316)&gt;Assumptions!$B$7,13,MONTH($F316)))</f>
        <v>1</v>
      </c>
      <c r="K316" s="100">
        <f>IF(OR($G316="",$G316&gt;Assumptions!$B$6),Assumptions!$B$8,IF($G316&lt;DATE(Assumptions!$B$7,1,1),0,MONTH($G316)))</f>
        <v>8</v>
      </c>
      <c r="L316" s="113">
        <f t="shared" si="12"/>
        <v>8</v>
      </c>
      <c r="M316" s="82">
        <f t="shared" si="13"/>
        <v>44200</v>
      </c>
      <c r="N316" s="100">
        <f>IF(AND($F316&lt;=Assumptions!$B$6,OR($G316="",$G316&gt;Assumptions!$B$6)),1,0)</f>
        <v>1</v>
      </c>
      <c r="O316" s="82">
        <f t="shared" si="14"/>
        <v>66300</v>
      </c>
    </row>
    <row r="317" spans="1:15" x14ac:dyDescent="0.25">
      <c r="A317" s="76" t="s">
        <v>1348</v>
      </c>
      <c r="B317" s="76" t="s">
        <v>731</v>
      </c>
      <c r="C317" s="76" t="s">
        <v>355</v>
      </c>
      <c r="D317" s="76" t="s">
        <v>705</v>
      </c>
      <c r="E317" s="77">
        <v>2</v>
      </c>
      <c r="F317" s="103">
        <v>44682</v>
      </c>
      <c r="H317" s="78">
        <v>94800</v>
      </c>
      <c r="J317" s="100">
        <f>IF($F317&lt;DATE(Assumptions!$B$7,1,1),1,IF(YEAR($F317)&gt;Assumptions!$B$7,13,MONTH($F317)))</f>
        <v>1</v>
      </c>
      <c r="K317" s="100">
        <f>IF(OR($G317="",$G317&gt;Assumptions!$B$6),Assumptions!$B$8,IF($G317&lt;DATE(Assumptions!$B$7,1,1),0,MONTH($G317)))</f>
        <v>8</v>
      </c>
      <c r="L317" s="113">
        <f t="shared" si="12"/>
        <v>8</v>
      </c>
      <c r="M317" s="82">
        <f t="shared" si="13"/>
        <v>63200</v>
      </c>
      <c r="N317" s="100">
        <f>IF(AND($F317&lt;=Assumptions!$B$6,OR($G317="",$G317&gt;Assumptions!$B$6)),1,0)</f>
        <v>1</v>
      </c>
      <c r="O317" s="82">
        <f t="shared" si="14"/>
        <v>94800</v>
      </c>
    </row>
    <row r="318" spans="1:15" x14ac:dyDescent="0.25">
      <c r="A318" s="76" t="s">
        <v>1349</v>
      </c>
      <c r="B318" s="76" t="s">
        <v>732</v>
      </c>
      <c r="C318" s="76" t="s">
        <v>355</v>
      </c>
      <c r="D318" s="76" t="s">
        <v>702</v>
      </c>
      <c r="E318" s="77">
        <v>3</v>
      </c>
      <c r="F318" s="103">
        <v>41913</v>
      </c>
      <c r="H318" s="78">
        <v>120900</v>
      </c>
      <c r="J318" s="100">
        <f>IF($F318&lt;DATE(Assumptions!$B$7,1,1),1,IF(YEAR($F318)&gt;Assumptions!$B$7,13,MONTH($F318)))</f>
        <v>1</v>
      </c>
      <c r="K318" s="100">
        <f>IF(OR($G318="",$G318&gt;Assumptions!$B$6),Assumptions!$B$8,IF($G318&lt;DATE(Assumptions!$B$7,1,1),0,MONTH($G318)))</f>
        <v>8</v>
      </c>
      <c r="L318" s="113">
        <f t="shared" si="12"/>
        <v>8</v>
      </c>
      <c r="M318" s="82">
        <f t="shared" si="13"/>
        <v>80600</v>
      </c>
      <c r="N318" s="100">
        <f>IF(AND($F318&lt;=Assumptions!$B$6,OR($G318="",$G318&gt;Assumptions!$B$6)),1,0)</f>
        <v>1</v>
      </c>
      <c r="O318" s="82">
        <f t="shared" si="14"/>
        <v>120900</v>
      </c>
    </row>
    <row r="319" spans="1:15" x14ac:dyDescent="0.25">
      <c r="A319" s="76" t="s">
        <v>1350</v>
      </c>
      <c r="B319" s="76" t="s">
        <v>733</v>
      </c>
      <c r="C319" s="76" t="s">
        <v>355</v>
      </c>
      <c r="D319" s="76" t="s">
        <v>702</v>
      </c>
      <c r="E319" s="77">
        <v>3</v>
      </c>
      <c r="F319" s="103">
        <v>44348</v>
      </c>
      <c r="H319" s="78">
        <v>116400</v>
      </c>
      <c r="J319" s="100">
        <f>IF($F319&lt;DATE(Assumptions!$B$7,1,1),1,IF(YEAR($F319)&gt;Assumptions!$B$7,13,MONTH($F319)))</f>
        <v>1</v>
      </c>
      <c r="K319" s="100">
        <f>IF(OR($G319="",$G319&gt;Assumptions!$B$6),Assumptions!$B$8,IF($G319&lt;DATE(Assumptions!$B$7,1,1),0,MONTH($G319)))</f>
        <v>8</v>
      </c>
      <c r="L319" s="113">
        <f t="shared" si="12"/>
        <v>8</v>
      </c>
      <c r="M319" s="82">
        <f t="shared" si="13"/>
        <v>77600</v>
      </c>
      <c r="N319" s="100">
        <f>IF(AND($F319&lt;=Assumptions!$B$6,OR($G319="",$G319&gt;Assumptions!$B$6)),1,0)</f>
        <v>1</v>
      </c>
      <c r="O319" s="82">
        <f t="shared" si="14"/>
        <v>116400</v>
      </c>
    </row>
    <row r="320" spans="1:15" x14ac:dyDescent="0.25">
      <c r="A320" s="76" t="s">
        <v>1351</v>
      </c>
      <c r="B320" s="76" t="s">
        <v>734</v>
      </c>
      <c r="C320" s="76" t="s">
        <v>355</v>
      </c>
      <c r="D320" s="76" t="s">
        <v>691</v>
      </c>
      <c r="E320" s="77">
        <v>2</v>
      </c>
      <c r="F320" s="103">
        <v>44927</v>
      </c>
      <c r="G320" s="103">
        <v>46234</v>
      </c>
      <c r="H320" s="78">
        <v>73000</v>
      </c>
      <c r="J320" s="100">
        <f>IF($F320&lt;DATE(Assumptions!$B$7,1,1),1,IF(YEAR($F320)&gt;Assumptions!$B$7,13,MONTH($F320)))</f>
        <v>1</v>
      </c>
      <c r="K320" s="100">
        <f>IF(OR($G320="",$G320&gt;Assumptions!$B$6),Assumptions!$B$8,IF($G320&lt;DATE(Assumptions!$B$7,1,1),0,MONTH($G320)))</f>
        <v>7</v>
      </c>
      <c r="L320" s="113">
        <f t="shared" si="12"/>
        <v>7</v>
      </c>
      <c r="M320" s="82">
        <f t="shared" si="13"/>
        <v>42583.333333333336</v>
      </c>
      <c r="N320" s="100">
        <f>IF(AND($F320&lt;=Assumptions!$B$6,OR($G320="",$G320&gt;Assumptions!$B$6)),1,0)</f>
        <v>0</v>
      </c>
      <c r="O320" s="82">
        <f t="shared" si="14"/>
        <v>0</v>
      </c>
    </row>
    <row r="321" spans="1:15" x14ac:dyDescent="0.25">
      <c r="A321" s="76" t="s">
        <v>1352</v>
      </c>
      <c r="B321" s="76" t="s">
        <v>735</v>
      </c>
      <c r="C321" s="76" t="s">
        <v>355</v>
      </c>
      <c r="D321" s="76" t="s">
        <v>705</v>
      </c>
      <c r="E321" s="77">
        <v>2</v>
      </c>
      <c r="F321" s="103">
        <v>41730</v>
      </c>
      <c r="H321" s="78">
        <v>88300</v>
      </c>
      <c r="J321" s="100">
        <f>IF($F321&lt;DATE(Assumptions!$B$7,1,1),1,IF(YEAR($F321)&gt;Assumptions!$B$7,13,MONTH($F321)))</f>
        <v>1</v>
      </c>
      <c r="K321" s="100">
        <f>IF(OR($G321="",$G321&gt;Assumptions!$B$6),Assumptions!$B$8,IF($G321&lt;DATE(Assumptions!$B$7,1,1),0,MONTH($G321)))</f>
        <v>8</v>
      </c>
      <c r="L321" s="113">
        <f t="shared" si="12"/>
        <v>8</v>
      </c>
      <c r="M321" s="82">
        <f t="shared" si="13"/>
        <v>58866.666666666664</v>
      </c>
      <c r="N321" s="100">
        <f>IF(AND($F321&lt;=Assumptions!$B$6,OR($G321="",$G321&gt;Assumptions!$B$6)),1,0)</f>
        <v>1</v>
      </c>
      <c r="O321" s="82">
        <f t="shared" si="14"/>
        <v>88300</v>
      </c>
    </row>
    <row r="322" spans="1:15" x14ac:dyDescent="0.25">
      <c r="A322" s="76" t="s">
        <v>1353</v>
      </c>
      <c r="B322" s="76" t="s">
        <v>736</v>
      </c>
      <c r="C322" s="76" t="s">
        <v>355</v>
      </c>
      <c r="D322" s="76" t="s">
        <v>693</v>
      </c>
      <c r="E322" s="77">
        <v>1</v>
      </c>
      <c r="F322" s="103">
        <v>42979</v>
      </c>
      <c r="H322" s="78">
        <v>63200</v>
      </c>
      <c r="J322" s="100">
        <f>IF($F322&lt;DATE(Assumptions!$B$7,1,1),1,IF(YEAR($F322)&gt;Assumptions!$B$7,13,MONTH($F322)))</f>
        <v>1</v>
      </c>
      <c r="K322" s="100">
        <f>IF(OR($G322="",$G322&gt;Assumptions!$B$6),Assumptions!$B$8,IF($G322&lt;DATE(Assumptions!$B$7,1,1),0,MONTH($G322)))</f>
        <v>8</v>
      </c>
      <c r="L322" s="113">
        <f t="shared" si="12"/>
        <v>8</v>
      </c>
      <c r="M322" s="82">
        <f t="shared" si="13"/>
        <v>42133.333333333336</v>
      </c>
      <c r="N322" s="100">
        <f>IF(AND($F322&lt;=Assumptions!$B$6,OR($G322="",$G322&gt;Assumptions!$B$6)),1,0)</f>
        <v>1</v>
      </c>
      <c r="O322" s="82">
        <f t="shared" si="14"/>
        <v>63200</v>
      </c>
    </row>
    <row r="323" spans="1:15" x14ac:dyDescent="0.25">
      <c r="A323" s="76" t="s">
        <v>1354</v>
      </c>
      <c r="B323" s="76" t="s">
        <v>737</v>
      </c>
      <c r="C323" s="76" t="s">
        <v>355</v>
      </c>
      <c r="D323" s="76" t="s">
        <v>693</v>
      </c>
      <c r="E323" s="77">
        <v>1</v>
      </c>
      <c r="F323" s="103">
        <v>43891</v>
      </c>
      <c r="H323" s="78">
        <v>54200</v>
      </c>
      <c r="J323" s="100">
        <f>IF($F323&lt;DATE(Assumptions!$B$7,1,1),1,IF(YEAR($F323)&gt;Assumptions!$B$7,13,MONTH($F323)))</f>
        <v>1</v>
      </c>
      <c r="K323" s="100">
        <f>IF(OR($G323="",$G323&gt;Assumptions!$B$6),Assumptions!$B$8,IF($G323&lt;DATE(Assumptions!$B$7,1,1),0,MONTH($G323)))</f>
        <v>8</v>
      </c>
      <c r="L323" s="113">
        <f t="shared" si="12"/>
        <v>8</v>
      </c>
      <c r="M323" s="82">
        <f t="shared" si="13"/>
        <v>36133.333333333336</v>
      </c>
      <c r="N323" s="100">
        <f>IF(AND($F323&lt;=Assumptions!$B$6,OR($G323="",$G323&gt;Assumptions!$B$6)),1,0)</f>
        <v>1</v>
      </c>
      <c r="O323" s="82">
        <f t="shared" si="14"/>
        <v>54200</v>
      </c>
    </row>
    <row r="324" spans="1:15" x14ac:dyDescent="0.25">
      <c r="A324" s="76" t="s">
        <v>1355</v>
      </c>
      <c r="B324" s="76" t="s">
        <v>738</v>
      </c>
      <c r="C324" s="76" t="s">
        <v>355</v>
      </c>
      <c r="D324" s="76" t="s">
        <v>713</v>
      </c>
      <c r="E324" s="77">
        <v>4</v>
      </c>
      <c r="F324" s="103">
        <v>44348</v>
      </c>
      <c r="H324" s="78">
        <v>156700</v>
      </c>
      <c r="J324" s="100">
        <f>IF($F324&lt;DATE(Assumptions!$B$7,1,1),1,IF(YEAR($F324)&gt;Assumptions!$B$7,13,MONTH($F324)))</f>
        <v>1</v>
      </c>
      <c r="K324" s="100">
        <f>IF(OR($G324="",$G324&gt;Assumptions!$B$6),Assumptions!$B$8,IF($G324&lt;DATE(Assumptions!$B$7,1,1),0,MONTH($G324)))</f>
        <v>8</v>
      </c>
      <c r="L324" s="113">
        <f t="shared" si="12"/>
        <v>8</v>
      </c>
      <c r="M324" s="82">
        <f t="shared" si="13"/>
        <v>104466.66666666667</v>
      </c>
      <c r="N324" s="100">
        <f>IF(AND($F324&lt;=Assumptions!$B$6,OR($G324="",$G324&gt;Assumptions!$B$6)),1,0)</f>
        <v>1</v>
      </c>
      <c r="O324" s="82">
        <f t="shared" si="14"/>
        <v>156700</v>
      </c>
    </row>
    <row r="325" spans="1:15" x14ac:dyDescent="0.25">
      <c r="A325" s="76" t="s">
        <v>1356</v>
      </c>
      <c r="B325" s="76" t="s">
        <v>739</v>
      </c>
      <c r="C325" s="76" t="s">
        <v>355</v>
      </c>
      <c r="D325" s="76" t="s">
        <v>702</v>
      </c>
      <c r="E325" s="77">
        <v>3</v>
      </c>
      <c r="F325" s="103">
        <v>43678</v>
      </c>
      <c r="H325" s="78">
        <v>109900</v>
      </c>
      <c r="J325" s="100">
        <f>IF($F325&lt;DATE(Assumptions!$B$7,1,1),1,IF(YEAR($F325)&gt;Assumptions!$B$7,13,MONTH($F325)))</f>
        <v>1</v>
      </c>
      <c r="K325" s="100">
        <f>IF(OR($G325="",$G325&gt;Assumptions!$B$6),Assumptions!$B$8,IF($G325&lt;DATE(Assumptions!$B$7,1,1),0,MONTH($G325)))</f>
        <v>8</v>
      </c>
      <c r="L325" s="113">
        <f t="shared" ref="L325:L388" si="15">MAX(0,K325-J325+1)</f>
        <v>8</v>
      </c>
      <c r="M325" s="82">
        <f t="shared" ref="M325:M388" si="16">$H325*L325/12</f>
        <v>73266.666666666672</v>
      </c>
      <c r="N325" s="100">
        <f>IF(AND($F325&lt;=Assumptions!$B$6,OR($G325="",$G325&gt;Assumptions!$B$6)),1,0)</f>
        <v>1</v>
      </c>
      <c r="O325" s="82">
        <f t="shared" ref="O325:O388" si="17">$H325*N325</f>
        <v>109900</v>
      </c>
    </row>
    <row r="326" spans="1:15" x14ac:dyDescent="0.25">
      <c r="A326" s="76" t="s">
        <v>1357</v>
      </c>
      <c r="B326" s="76" t="s">
        <v>740</v>
      </c>
      <c r="C326" s="76" t="s">
        <v>355</v>
      </c>
      <c r="D326" s="76" t="s">
        <v>705</v>
      </c>
      <c r="E326" s="77">
        <v>2</v>
      </c>
      <c r="F326" s="103">
        <v>44835</v>
      </c>
      <c r="H326" s="78">
        <v>87000</v>
      </c>
      <c r="J326" s="100">
        <f>IF($F326&lt;DATE(Assumptions!$B$7,1,1),1,IF(YEAR($F326)&gt;Assumptions!$B$7,13,MONTH($F326)))</f>
        <v>1</v>
      </c>
      <c r="K326" s="100">
        <f>IF(OR($G326="",$G326&gt;Assumptions!$B$6),Assumptions!$B$8,IF($G326&lt;DATE(Assumptions!$B$7,1,1),0,MONTH($G326)))</f>
        <v>8</v>
      </c>
      <c r="L326" s="113">
        <f t="shared" si="15"/>
        <v>8</v>
      </c>
      <c r="M326" s="82">
        <f t="shared" si="16"/>
        <v>58000</v>
      </c>
      <c r="N326" s="100">
        <f>IF(AND($F326&lt;=Assumptions!$B$6,OR($G326="",$G326&gt;Assumptions!$B$6)),1,0)</f>
        <v>1</v>
      </c>
      <c r="O326" s="82">
        <f t="shared" si="17"/>
        <v>87000</v>
      </c>
    </row>
    <row r="327" spans="1:15" x14ac:dyDescent="0.25">
      <c r="A327" s="76" t="s">
        <v>1358</v>
      </c>
      <c r="B327" s="76" t="s">
        <v>741</v>
      </c>
      <c r="C327" s="76" t="s">
        <v>355</v>
      </c>
      <c r="D327" s="76" t="s">
        <v>705</v>
      </c>
      <c r="E327" s="77">
        <v>2</v>
      </c>
      <c r="F327" s="103">
        <v>43040</v>
      </c>
      <c r="H327" s="78">
        <v>97100</v>
      </c>
      <c r="J327" s="100">
        <f>IF($F327&lt;DATE(Assumptions!$B$7,1,1),1,IF(YEAR($F327)&gt;Assumptions!$B$7,13,MONTH($F327)))</f>
        <v>1</v>
      </c>
      <c r="K327" s="100">
        <f>IF(OR($G327="",$G327&gt;Assumptions!$B$6),Assumptions!$B$8,IF($G327&lt;DATE(Assumptions!$B$7,1,1),0,MONTH($G327)))</f>
        <v>8</v>
      </c>
      <c r="L327" s="113">
        <f t="shared" si="15"/>
        <v>8</v>
      </c>
      <c r="M327" s="82">
        <f t="shared" si="16"/>
        <v>64733.333333333336</v>
      </c>
      <c r="N327" s="100">
        <f>IF(AND($F327&lt;=Assumptions!$B$6,OR($G327="",$G327&gt;Assumptions!$B$6)),1,0)</f>
        <v>1</v>
      </c>
      <c r="O327" s="82">
        <f t="shared" si="17"/>
        <v>97100</v>
      </c>
    </row>
    <row r="328" spans="1:15" x14ac:dyDescent="0.25">
      <c r="A328" s="76" t="s">
        <v>1359</v>
      </c>
      <c r="B328" s="76" t="s">
        <v>742</v>
      </c>
      <c r="C328" s="76" t="s">
        <v>355</v>
      </c>
      <c r="D328" s="76" t="s">
        <v>713</v>
      </c>
      <c r="E328" s="77">
        <v>4</v>
      </c>
      <c r="F328" s="103">
        <v>42491</v>
      </c>
      <c r="H328" s="78">
        <v>181400</v>
      </c>
      <c r="J328" s="100">
        <f>IF($F328&lt;DATE(Assumptions!$B$7,1,1),1,IF(YEAR($F328)&gt;Assumptions!$B$7,13,MONTH($F328)))</f>
        <v>1</v>
      </c>
      <c r="K328" s="100">
        <f>IF(OR($G328="",$G328&gt;Assumptions!$B$6),Assumptions!$B$8,IF($G328&lt;DATE(Assumptions!$B$7,1,1),0,MONTH($G328)))</f>
        <v>8</v>
      </c>
      <c r="L328" s="113">
        <f t="shared" si="15"/>
        <v>8</v>
      </c>
      <c r="M328" s="82">
        <f t="shared" si="16"/>
        <v>120933.33333333333</v>
      </c>
      <c r="N328" s="100">
        <f>IF(AND($F328&lt;=Assumptions!$B$6,OR($G328="",$G328&gt;Assumptions!$B$6)),1,0)</f>
        <v>1</v>
      </c>
      <c r="O328" s="82">
        <f t="shared" si="17"/>
        <v>181400</v>
      </c>
    </row>
    <row r="329" spans="1:15" x14ac:dyDescent="0.25">
      <c r="A329" s="76" t="s">
        <v>1360</v>
      </c>
      <c r="B329" s="76" t="s">
        <v>743</v>
      </c>
      <c r="C329" s="76" t="s">
        <v>355</v>
      </c>
      <c r="D329" s="76" t="s">
        <v>693</v>
      </c>
      <c r="E329" s="77">
        <v>1</v>
      </c>
      <c r="F329" s="103">
        <v>44805</v>
      </c>
      <c r="H329" s="78">
        <v>65600</v>
      </c>
      <c r="J329" s="100">
        <f>IF($F329&lt;DATE(Assumptions!$B$7,1,1),1,IF(YEAR($F329)&gt;Assumptions!$B$7,13,MONTH($F329)))</f>
        <v>1</v>
      </c>
      <c r="K329" s="100">
        <f>IF(OR($G329="",$G329&gt;Assumptions!$B$6),Assumptions!$B$8,IF($G329&lt;DATE(Assumptions!$B$7,1,1),0,MONTH($G329)))</f>
        <v>8</v>
      </c>
      <c r="L329" s="113">
        <f t="shared" si="15"/>
        <v>8</v>
      </c>
      <c r="M329" s="82">
        <f t="shared" si="16"/>
        <v>43733.333333333336</v>
      </c>
      <c r="N329" s="100">
        <f>IF(AND($F329&lt;=Assumptions!$B$6,OR($G329="",$G329&gt;Assumptions!$B$6)),1,0)</f>
        <v>1</v>
      </c>
      <c r="O329" s="82">
        <f t="shared" si="17"/>
        <v>65600</v>
      </c>
    </row>
    <row r="330" spans="1:15" x14ac:dyDescent="0.25">
      <c r="A330" s="76" t="s">
        <v>1361</v>
      </c>
      <c r="B330" s="76" t="s">
        <v>744</v>
      </c>
      <c r="C330" s="76" t="s">
        <v>355</v>
      </c>
      <c r="D330" s="76" t="s">
        <v>702</v>
      </c>
      <c r="E330" s="77">
        <v>3</v>
      </c>
      <c r="F330" s="103">
        <v>44409</v>
      </c>
      <c r="H330" s="78">
        <v>120600</v>
      </c>
      <c r="J330" s="100">
        <f>IF($F330&lt;DATE(Assumptions!$B$7,1,1),1,IF(YEAR($F330)&gt;Assumptions!$B$7,13,MONTH($F330)))</f>
        <v>1</v>
      </c>
      <c r="K330" s="100">
        <f>IF(OR($G330="",$G330&gt;Assumptions!$B$6),Assumptions!$B$8,IF($G330&lt;DATE(Assumptions!$B$7,1,1),0,MONTH($G330)))</f>
        <v>8</v>
      </c>
      <c r="L330" s="113">
        <f t="shared" si="15"/>
        <v>8</v>
      </c>
      <c r="M330" s="82">
        <f t="shared" si="16"/>
        <v>80400</v>
      </c>
      <c r="N330" s="100">
        <f>IF(AND($F330&lt;=Assumptions!$B$6,OR($G330="",$G330&gt;Assumptions!$B$6)),1,0)</f>
        <v>1</v>
      </c>
      <c r="O330" s="82">
        <f t="shared" si="17"/>
        <v>120600</v>
      </c>
    </row>
    <row r="331" spans="1:15" x14ac:dyDescent="0.25">
      <c r="A331" s="76" t="s">
        <v>1362</v>
      </c>
      <c r="B331" s="76" t="s">
        <v>745</v>
      </c>
      <c r="C331" s="76" t="s">
        <v>355</v>
      </c>
      <c r="D331" s="76" t="s">
        <v>693</v>
      </c>
      <c r="E331" s="77">
        <v>1</v>
      </c>
      <c r="F331" s="103">
        <v>43770</v>
      </c>
      <c r="H331" s="78">
        <v>66600</v>
      </c>
      <c r="J331" s="100">
        <f>IF($F331&lt;DATE(Assumptions!$B$7,1,1),1,IF(YEAR($F331)&gt;Assumptions!$B$7,13,MONTH($F331)))</f>
        <v>1</v>
      </c>
      <c r="K331" s="100">
        <f>IF(OR($G331="",$G331&gt;Assumptions!$B$6),Assumptions!$B$8,IF($G331&lt;DATE(Assumptions!$B$7,1,1),0,MONTH($G331)))</f>
        <v>8</v>
      </c>
      <c r="L331" s="113">
        <f t="shared" si="15"/>
        <v>8</v>
      </c>
      <c r="M331" s="82">
        <f t="shared" si="16"/>
        <v>44400</v>
      </c>
      <c r="N331" s="100">
        <f>IF(AND($F331&lt;=Assumptions!$B$6,OR($G331="",$G331&gt;Assumptions!$B$6)),1,0)</f>
        <v>1</v>
      </c>
      <c r="O331" s="82">
        <f t="shared" si="17"/>
        <v>66600</v>
      </c>
    </row>
    <row r="332" spans="1:15" x14ac:dyDescent="0.25">
      <c r="A332" s="76" t="s">
        <v>1363</v>
      </c>
      <c r="B332" s="76" t="s">
        <v>746</v>
      </c>
      <c r="C332" s="76" t="s">
        <v>355</v>
      </c>
      <c r="D332" s="76" t="s">
        <v>693</v>
      </c>
      <c r="E332" s="77">
        <v>1</v>
      </c>
      <c r="F332" s="103">
        <v>43831</v>
      </c>
      <c r="H332" s="78">
        <v>52500</v>
      </c>
      <c r="J332" s="100">
        <f>IF($F332&lt;DATE(Assumptions!$B$7,1,1),1,IF(YEAR($F332)&gt;Assumptions!$B$7,13,MONTH($F332)))</f>
        <v>1</v>
      </c>
      <c r="K332" s="100">
        <f>IF(OR($G332="",$G332&gt;Assumptions!$B$6),Assumptions!$B$8,IF($G332&lt;DATE(Assumptions!$B$7,1,1),0,MONTH($G332)))</f>
        <v>8</v>
      </c>
      <c r="L332" s="113">
        <f t="shared" si="15"/>
        <v>8</v>
      </c>
      <c r="M332" s="82">
        <f t="shared" si="16"/>
        <v>35000</v>
      </c>
      <c r="N332" s="100">
        <f>IF(AND($F332&lt;=Assumptions!$B$6,OR($G332="",$G332&gt;Assumptions!$B$6)),1,0)</f>
        <v>1</v>
      </c>
      <c r="O332" s="82">
        <f t="shared" si="17"/>
        <v>52500</v>
      </c>
    </row>
    <row r="333" spans="1:15" x14ac:dyDescent="0.25">
      <c r="A333" s="76" t="s">
        <v>1364</v>
      </c>
      <c r="B333" s="76" t="s">
        <v>747</v>
      </c>
      <c r="C333" s="76" t="s">
        <v>355</v>
      </c>
      <c r="D333" s="76" t="s">
        <v>693</v>
      </c>
      <c r="E333" s="77">
        <v>1</v>
      </c>
      <c r="F333" s="103">
        <v>45717</v>
      </c>
      <c r="H333" s="78">
        <v>54200</v>
      </c>
      <c r="J333" s="100">
        <f>IF($F333&lt;DATE(Assumptions!$B$7,1,1),1,IF(YEAR($F333)&gt;Assumptions!$B$7,13,MONTH($F333)))</f>
        <v>1</v>
      </c>
      <c r="K333" s="100">
        <f>IF(OR($G333="",$G333&gt;Assumptions!$B$6),Assumptions!$B$8,IF($G333&lt;DATE(Assumptions!$B$7,1,1),0,MONTH($G333)))</f>
        <v>8</v>
      </c>
      <c r="L333" s="113">
        <f t="shared" si="15"/>
        <v>8</v>
      </c>
      <c r="M333" s="82">
        <f t="shared" si="16"/>
        <v>36133.333333333336</v>
      </c>
      <c r="N333" s="100">
        <f>IF(AND($F333&lt;=Assumptions!$B$6,OR($G333="",$G333&gt;Assumptions!$B$6)),1,0)</f>
        <v>1</v>
      </c>
      <c r="O333" s="82">
        <f t="shared" si="17"/>
        <v>54200</v>
      </c>
    </row>
    <row r="334" spans="1:15" x14ac:dyDescent="0.25">
      <c r="A334" s="76" t="s">
        <v>1365</v>
      </c>
      <c r="B334" s="76" t="s">
        <v>748</v>
      </c>
      <c r="C334" s="76" t="s">
        <v>355</v>
      </c>
      <c r="D334" s="76" t="s">
        <v>693</v>
      </c>
      <c r="E334" s="77">
        <v>1</v>
      </c>
      <c r="F334" s="103">
        <v>45962</v>
      </c>
      <c r="H334" s="78">
        <v>65800</v>
      </c>
      <c r="J334" s="100">
        <f>IF($F334&lt;DATE(Assumptions!$B$7,1,1),1,IF(YEAR($F334)&gt;Assumptions!$B$7,13,MONTH($F334)))</f>
        <v>1</v>
      </c>
      <c r="K334" s="100">
        <f>IF(OR($G334="",$G334&gt;Assumptions!$B$6),Assumptions!$B$8,IF($G334&lt;DATE(Assumptions!$B$7,1,1),0,MONTH($G334)))</f>
        <v>8</v>
      </c>
      <c r="L334" s="113">
        <f t="shared" si="15"/>
        <v>8</v>
      </c>
      <c r="M334" s="82">
        <f t="shared" si="16"/>
        <v>43866.666666666664</v>
      </c>
      <c r="N334" s="100">
        <f>IF(AND($F334&lt;=Assumptions!$B$6,OR($G334="",$G334&gt;Assumptions!$B$6)),1,0)</f>
        <v>1</v>
      </c>
      <c r="O334" s="82">
        <f t="shared" si="17"/>
        <v>65800</v>
      </c>
    </row>
    <row r="335" spans="1:15" x14ac:dyDescent="0.25">
      <c r="A335" s="76" t="s">
        <v>1366</v>
      </c>
      <c r="B335" s="76" t="s">
        <v>749</v>
      </c>
      <c r="C335" s="76" t="s">
        <v>355</v>
      </c>
      <c r="D335" s="76" t="s">
        <v>691</v>
      </c>
      <c r="E335" s="77">
        <v>2</v>
      </c>
      <c r="F335" s="103">
        <v>45536</v>
      </c>
      <c r="H335" s="78">
        <v>83500</v>
      </c>
      <c r="J335" s="100">
        <f>IF($F335&lt;DATE(Assumptions!$B$7,1,1),1,IF(YEAR($F335)&gt;Assumptions!$B$7,13,MONTH($F335)))</f>
        <v>1</v>
      </c>
      <c r="K335" s="100">
        <f>IF(OR($G335="",$G335&gt;Assumptions!$B$6),Assumptions!$B$8,IF($G335&lt;DATE(Assumptions!$B$7,1,1),0,MONTH($G335)))</f>
        <v>8</v>
      </c>
      <c r="L335" s="113">
        <f t="shared" si="15"/>
        <v>8</v>
      </c>
      <c r="M335" s="82">
        <f t="shared" si="16"/>
        <v>55666.666666666664</v>
      </c>
      <c r="N335" s="100">
        <f>IF(AND($F335&lt;=Assumptions!$B$6,OR($G335="",$G335&gt;Assumptions!$B$6)),1,0)</f>
        <v>1</v>
      </c>
      <c r="O335" s="82">
        <f t="shared" si="17"/>
        <v>83500</v>
      </c>
    </row>
    <row r="336" spans="1:15" x14ac:dyDescent="0.25">
      <c r="A336" s="76" t="s">
        <v>1367</v>
      </c>
      <c r="B336" s="76" t="s">
        <v>750</v>
      </c>
      <c r="C336" s="76" t="s">
        <v>355</v>
      </c>
      <c r="D336" s="76" t="s">
        <v>691</v>
      </c>
      <c r="E336" s="77">
        <v>2</v>
      </c>
      <c r="F336" s="103">
        <v>43132</v>
      </c>
      <c r="G336" s="103">
        <v>46053</v>
      </c>
      <c r="H336" s="78">
        <v>87800</v>
      </c>
      <c r="J336" s="100">
        <f>IF($F336&lt;DATE(Assumptions!$B$7,1,1),1,IF(YEAR($F336)&gt;Assumptions!$B$7,13,MONTH($F336)))</f>
        <v>1</v>
      </c>
      <c r="K336" s="100">
        <f>IF(OR($G336="",$G336&gt;Assumptions!$B$6),Assumptions!$B$8,IF($G336&lt;DATE(Assumptions!$B$7,1,1),0,MONTH($G336)))</f>
        <v>1</v>
      </c>
      <c r="L336" s="113">
        <f t="shared" si="15"/>
        <v>1</v>
      </c>
      <c r="M336" s="82">
        <f t="shared" si="16"/>
        <v>7316.666666666667</v>
      </c>
      <c r="N336" s="100">
        <f>IF(AND($F336&lt;=Assumptions!$B$6,OR($G336="",$G336&gt;Assumptions!$B$6)),1,0)</f>
        <v>0</v>
      </c>
      <c r="O336" s="82">
        <f t="shared" si="17"/>
        <v>0</v>
      </c>
    </row>
    <row r="337" spans="1:15" x14ac:dyDescent="0.25">
      <c r="A337" s="76" t="s">
        <v>1368</v>
      </c>
      <c r="B337" s="76" t="s">
        <v>750</v>
      </c>
      <c r="C337" s="76" t="s">
        <v>355</v>
      </c>
      <c r="D337" s="76" t="s">
        <v>691</v>
      </c>
      <c r="E337" s="77">
        <v>2</v>
      </c>
      <c r="F337" s="103">
        <v>46113</v>
      </c>
      <c r="H337" s="78">
        <v>93500</v>
      </c>
      <c r="J337" s="100">
        <f>IF($F337&lt;DATE(Assumptions!$B$7,1,1),1,IF(YEAR($F337)&gt;Assumptions!$B$7,13,MONTH($F337)))</f>
        <v>4</v>
      </c>
      <c r="K337" s="100">
        <f>IF(OR($G337="",$G337&gt;Assumptions!$B$6),Assumptions!$B$8,IF($G337&lt;DATE(Assumptions!$B$7,1,1),0,MONTH($G337)))</f>
        <v>8</v>
      </c>
      <c r="L337" s="113">
        <f t="shared" si="15"/>
        <v>5</v>
      </c>
      <c r="M337" s="82">
        <f t="shared" si="16"/>
        <v>38958.333333333336</v>
      </c>
      <c r="N337" s="100">
        <f>IF(AND($F337&lt;=Assumptions!$B$6,OR($G337="",$G337&gt;Assumptions!$B$6)),1,0)</f>
        <v>1</v>
      </c>
      <c r="O337" s="82">
        <f t="shared" si="17"/>
        <v>93500</v>
      </c>
    </row>
    <row r="338" spans="1:15" x14ac:dyDescent="0.25">
      <c r="A338" s="76" t="s">
        <v>1369</v>
      </c>
      <c r="B338" s="76" t="s">
        <v>751</v>
      </c>
      <c r="C338" s="76" t="s">
        <v>355</v>
      </c>
      <c r="D338" s="76" t="s">
        <v>693</v>
      </c>
      <c r="E338" s="77">
        <v>1</v>
      </c>
      <c r="F338" s="103">
        <v>43070</v>
      </c>
      <c r="H338" s="78">
        <v>64100</v>
      </c>
      <c r="J338" s="100">
        <f>IF($F338&lt;DATE(Assumptions!$B$7,1,1),1,IF(YEAR($F338)&gt;Assumptions!$B$7,13,MONTH($F338)))</f>
        <v>1</v>
      </c>
      <c r="K338" s="100">
        <f>IF(OR($G338="",$G338&gt;Assumptions!$B$6),Assumptions!$B$8,IF($G338&lt;DATE(Assumptions!$B$7,1,1),0,MONTH($G338)))</f>
        <v>8</v>
      </c>
      <c r="L338" s="113">
        <f t="shared" si="15"/>
        <v>8</v>
      </c>
      <c r="M338" s="82">
        <f t="shared" si="16"/>
        <v>42733.333333333336</v>
      </c>
      <c r="N338" s="100">
        <f>IF(AND($F338&lt;=Assumptions!$B$6,OR($G338="",$G338&gt;Assumptions!$B$6)),1,0)</f>
        <v>1</v>
      </c>
      <c r="O338" s="82">
        <f t="shared" si="17"/>
        <v>64100</v>
      </c>
    </row>
    <row r="339" spans="1:15" x14ac:dyDescent="0.25">
      <c r="A339" s="76" t="s">
        <v>1370</v>
      </c>
      <c r="B339" s="76" t="s">
        <v>752</v>
      </c>
      <c r="C339" s="76" t="s">
        <v>355</v>
      </c>
      <c r="D339" s="76" t="s">
        <v>693</v>
      </c>
      <c r="E339" s="77">
        <v>1</v>
      </c>
      <c r="F339" s="103">
        <v>44835</v>
      </c>
      <c r="H339" s="78">
        <v>53300</v>
      </c>
      <c r="J339" s="100">
        <f>IF($F339&lt;DATE(Assumptions!$B$7,1,1),1,IF(YEAR($F339)&gt;Assumptions!$B$7,13,MONTH($F339)))</f>
        <v>1</v>
      </c>
      <c r="K339" s="100">
        <f>IF(OR($G339="",$G339&gt;Assumptions!$B$6),Assumptions!$B$8,IF($G339&lt;DATE(Assumptions!$B$7,1,1),0,MONTH($G339)))</f>
        <v>8</v>
      </c>
      <c r="L339" s="113">
        <f t="shared" si="15"/>
        <v>8</v>
      </c>
      <c r="M339" s="82">
        <f t="shared" si="16"/>
        <v>35533.333333333336</v>
      </c>
      <c r="N339" s="100">
        <f>IF(AND($F339&lt;=Assumptions!$B$6,OR($G339="",$G339&gt;Assumptions!$B$6)),1,0)</f>
        <v>1</v>
      </c>
      <c r="O339" s="82">
        <f t="shared" si="17"/>
        <v>53300</v>
      </c>
    </row>
    <row r="340" spans="1:15" x14ac:dyDescent="0.25">
      <c r="A340" s="76" t="s">
        <v>1371</v>
      </c>
      <c r="B340" s="76" t="s">
        <v>753</v>
      </c>
      <c r="C340" s="76" t="s">
        <v>355</v>
      </c>
      <c r="D340" s="76" t="s">
        <v>693</v>
      </c>
      <c r="E340" s="77">
        <v>1</v>
      </c>
      <c r="F340" s="103">
        <v>43132</v>
      </c>
      <c r="H340" s="78">
        <v>62500</v>
      </c>
      <c r="J340" s="100">
        <f>IF($F340&lt;DATE(Assumptions!$B$7,1,1),1,IF(YEAR($F340)&gt;Assumptions!$B$7,13,MONTH($F340)))</f>
        <v>1</v>
      </c>
      <c r="K340" s="100">
        <f>IF(OR($G340="",$G340&gt;Assumptions!$B$6),Assumptions!$B$8,IF($G340&lt;DATE(Assumptions!$B$7,1,1),0,MONTH($G340)))</f>
        <v>8</v>
      </c>
      <c r="L340" s="113">
        <f t="shared" si="15"/>
        <v>8</v>
      </c>
      <c r="M340" s="82">
        <f t="shared" si="16"/>
        <v>41666.666666666664</v>
      </c>
      <c r="N340" s="100">
        <f>IF(AND($F340&lt;=Assumptions!$B$6,OR($G340="",$G340&gt;Assumptions!$B$6)),1,0)</f>
        <v>1</v>
      </c>
      <c r="O340" s="82">
        <f t="shared" si="17"/>
        <v>62500</v>
      </c>
    </row>
    <row r="341" spans="1:15" x14ac:dyDescent="0.25">
      <c r="A341" s="76" t="s">
        <v>1372</v>
      </c>
      <c r="B341" s="76" t="s">
        <v>754</v>
      </c>
      <c r="C341" s="76" t="s">
        <v>355</v>
      </c>
      <c r="D341" s="76" t="s">
        <v>693</v>
      </c>
      <c r="E341" s="77">
        <v>1</v>
      </c>
      <c r="F341" s="103">
        <v>44743</v>
      </c>
      <c r="H341" s="78">
        <v>64500</v>
      </c>
      <c r="J341" s="100">
        <f>IF($F341&lt;DATE(Assumptions!$B$7,1,1),1,IF(YEAR($F341)&gt;Assumptions!$B$7,13,MONTH($F341)))</f>
        <v>1</v>
      </c>
      <c r="K341" s="100">
        <f>IF(OR($G341="",$G341&gt;Assumptions!$B$6),Assumptions!$B$8,IF($G341&lt;DATE(Assumptions!$B$7,1,1),0,MONTH($G341)))</f>
        <v>8</v>
      </c>
      <c r="L341" s="113">
        <f t="shared" si="15"/>
        <v>8</v>
      </c>
      <c r="M341" s="82">
        <f t="shared" si="16"/>
        <v>43000</v>
      </c>
      <c r="N341" s="100">
        <f>IF(AND($F341&lt;=Assumptions!$B$6,OR($G341="",$G341&gt;Assumptions!$B$6)),1,0)</f>
        <v>1</v>
      </c>
      <c r="O341" s="82">
        <f t="shared" si="17"/>
        <v>64500</v>
      </c>
    </row>
    <row r="342" spans="1:15" x14ac:dyDescent="0.25">
      <c r="A342" s="76" t="s">
        <v>1373</v>
      </c>
      <c r="B342" s="76" t="s">
        <v>755</v>
      </c>
      <c r="C342" s="76" t="s">
        <v>355</v>
      </c>
      <c r="D342" s="76" t="s">
        <v>693</v>
      </c>
      <c r="E342" s="77">
        <v>1</v>
      </c>
      <c r="F342" s="103">
        <v>42401</v>
      </c>
      <c r="H342" s="78">
        <v>69100</v>
      </c>
      <c r="J342" s="100">
        <f>IF($F342&lt;DATE(Assumptions!$B$7,1,1),1,IF(YEAR($F342)&gt;Assumptions!$B$7,13,MONTH($F342)))</f>
        <v>1</v>
      </c>
      <c r="K342" s="100">
        <f>IF(OR($G342="",$G342&gt;Assumptions!$B$6),Assumptions!$B$8,IF($G342&lt;DATE(Assumptions!$B$7,1,1),0,MONTH($G342)))</f>
        <v>8</v>
      </c>
      <c r="L342" s="113">
        <f t="shared" si="15"/>
        <v>8</v>
      </c>
      <c r="M342" s="82">
        <f t="shared" si="16"/>
        <v>46066.666666666664</v>
      </c>
      <c r="N342" s="100">
        <f>IF(AND($F342&lt;=Assumptions!$B$6,OR($G342="",$G342&gt;Assumptions!$B$6)),1,0)</f>
        <v>1</v>
      </c>
      <c r="O342" s="82">
        <f t="shared" si="17"/>
        <v>69100</v>
      </c>
    </row>
    <row r="343" spans="1:15" x14ac:dyDescent="0.25">
      <c r="A343" s="76" t="s">
        <v>1374</v>
      </c>
      <c r="B343" s="76" t="s">
        <v>756</v>
      </c>
      <c r="C343" s="76" t="s">
        <v>355</v>
      </c>
      <c r="D343" s="76" t="s">
        <v>693</v>
      </c>
      <c r="E343" s="77">
        <v>1</v>
      </c>
      <c r="F343" s="103">
        <v>44013</v>
      </c>
      <c r="H343" s="78">
        <v>63400</v>
      </c>
      <c r="J343" s="100">
        <f>IF($F343&lt;DATE(Assumptions!$B$7,1,1),1,IF(YEAR($F343)&gt;Assumptions!$B$7,13,MONTH($F343)))</f>
        <v>1</v>
      </c>
      <c r="K343" s="100">
        <f>IF(OR($G343="",$G343&gt;Assumptions!$B$6),Assumptions!$B$8,IF($G343&lt;DATE(Assumptions!$B$7,1,1),0,MONTH($G343)))</f>
        <v>8</v>
      </c>
      <c r="L343" s="113">
        <f t="shared" si="15"/>
        <v>8</v>
      </c>
      <c r="M343" s="82">
        <f t="shared" si="16"/>
        <v>42266.666666666664</v>
      </c>
      <c r="N343" s="100">
        <f>IF(AND($F343&lt;=Assumptions!$B$6,OR($G343="",$G343&gt;Assumptions!$B$6)),1,0)</f>
        <v>1</v>
      </c>
      <c r="O343" s="82">
        <f t="shared" si="17"/>
        <v>63400</v>
      </c>
    </row>
    <row r="344" spans="1:15" x14ac:dyDescent="0.25">
      <c r="A344" s="76" t="s">
        <v>1375</v>
      </c>
      <c r="B344" s="76" t="s">
        <v>757</v>
      </c>
      <c r="C344" s="76" t="s">
        <v>355</v>
      </c>
      <c r="D344" s="76" t="s">
        <v>702</v>
      </c>
      <c r="E344" s="77">
        <v>3</v>
      </c>
      <c r="F344" s="103">
        <v>42339</v>
      </c>
      <c r="H344" s="78">
        <v>119900</v>
      </c>
      <c r="J344" s="100">
        <f>IF($F344&lt;DATE(Assumptions!$B$7,1,1),1,IF(YEAR($F344)&gt;Assumptions!$B$7,13,MONTH($F344)))</f>
        <v>1</v>
      </c>
      <c r="K344" s="100">
        <f>IF(OR($G344="",$G344&gt;Assumptions!$B$6),Assumptions!$B$8,IF($G344&lt;DATE(Assumptions!$B$7,1,1),0,MONTH($G344)))</f>
        <v>8</v>
      </c>
      <c r="L344" s="113">
        <f t="shared" si="15"/>
        <v>8</v>
      </c>
      <c r="M344" s="82">
        <f t="shared" si="16"/>
        <v>79933.333333333328</v>
      </c>
      <c r="N344" s="100">
        <f>IF(AND($F344&lt;=Assumptions!$B$6,OR($G344="",$G344&gt;Assumptions!$B$6)),1,0)</f>
        <v>1</v>
      </c>
      <c r="O344" s="82">
        <f t="shared" si="17"/>
        <v>119900</v>
      </c>
    </row>
    <row r="345" spans="1:15" x14ac:dyDescent="0.25">
      <c r="A345" s="76" t="s">
        <v>1376</v>
      </c>
      <c r="B345" s="76" t="s">
        <v>758</v>
      </c>
      <c r="C345" s="76" t="s">
        <v>355</v>
      </c>
      <c r="D345" s="76" t="s">
        <v>693</v>
      </c>
      <c r="E345" s="77">
        <v>1</v>
      </c>
      <c r="F345" s="103">
        <v>43405</v>
      </c>
      <c r="H345" s="78">
        <v>59200</v>
      </c>
      <c r="J345" s="100">
        <f>IF($F345&lt;DATE(Assumptions!$B$7,1,1),1,IF(YEAR($F345)&gt;Assumptions!$B$7,13,MONTH($F345)))</f>
        <v>1</v>
      </c>
      <c r="K345" s="100">
        <f>IF(OR($G345="",$G345&gt;Assumptions!$B$6),Assumptions!$B$8,IF($G345&lt;DATE(Assumptions!$B$7,1,1),0,MONTH($G345)))</f>
        <v>8</v>
      </c>
      <c r="L345" s="113">
        <f t="shared" si="15"/>
        <v>8</v>
      </c>
      <c r="M345" s="82">
        <f t="shared" si="16"/>
        <v>39466.666666666664</v>
      </c>
      <c r="N345" s="100">
        <f>IF(AND($F345&lt;=Assumptions!$B$6,OR($G345="",$G345&gt;Assumptions!$B$6)),1,0)</f>
        <v>1</v>
      </c>
      <c r="O345" s="82">
        <f t="shared" si="17"/>
        <v>59200</v>
      </c>
    </row>
    <row r="346" spans="1:15" x14ac:dyDescent="0.25">
      <c r="A346" s="76" t="s">
        <v>1377</v>
      </c>
      <c r="B346" s="76" t="s">
        <v>759</v>
      </c>
      <c r="C346" s="76" t="s">
        <v>355</v>
      </c>
      <c r="D346" s="76" t="s">
        <v>693</v>
      </c>
      <c r="E346" s="77">
        <v>1</v>
      </c>
      <c r="F346" s="103">
        <v>45505</v>
      </c>
      <c r="H346" s="78">
        <v>54700</v>
      </c>
      <c r="J346" s="100">
        <f>IF($F346&lt;DATE(Assumptions!$B$7,1,1),1,IF(YEAR($F346)&gt;Assumptions!$B$7,13,MONTH($F346)))</f>
        <v>1</v>
      </c>
      <c r="K346" s="100">
        <f>IF(OR($G346="",$G346&gt;Assumptions!$B$6),Assumptions!$B$8,IF($G346&lt;DATE(Assumptions!$B$7,1,1),0,MONTH($G346)))</f>
        <v>8</v>
      </c>
      <c r="L346" s="113">
        <f t="shared" si="15"/>
        <v>8</v>
      </c>
      <c r="M346" s="82">
        <f t="shared" si="16"/>
        <v>36466.666666666664</v>
      </c>
      <c r="N346" s="100">
        <f>IF(AND($F346&lt;=Assumptions!$B$6,OR($G346="",$G346&gt;Assumptions!$B$6)),1,0)</f>
        <v>1</v>
      </c>
      <c r="O346" s="82">
        <f t="shared" si="17"/>
        <v>54700</v>
      </c>
    </row>
    <row r="347" spans="1:15" x14ac:dyDescent="0.25">
      <c r="A347" s="76" t="s">
        <v>1378</v>
      </c>
      <c r="B347" s="76" t="s">
        <v>760</v>
      </c>
      <c r="C347" s="76" t="s">
        <v>355</v>
      </c>
      <c r="D347" s="76" t="s">
        <v>705</v>
      </c>
      <c r="E347" s="77">
        <v>2</v>
      </c>
      <c r="F347" s="103">
        <v>46143</v>
      </c>
      <c r="H347" s="78">
        <v>85000</v>
      </c>
      <c r="J347" s="100">
        <f>IF($F347&lt;DATE(Assumptions!$B$7,1,1),1,IF(YEAR($F347)&gt;Assumptions!$B$7,13,MONTH($F347)))</f>
        <v>5</v>
      </c>
      <c r="K347" s="100">
        <f>IF(OR($G347="",$G347&gt;Assumptions!$B$6),Assumptions!$B$8,IF($G347&lt;DATE(Assumptions!$B$7,1,1),0,MONTH($G347)))</f>
        <v>8</v>
      </c>
      <c r="L347" s="113">
        <f t="shared" si="15"/>
        <v>4</v>
      </c>
      <c r="M347" s="82">
        <f t="shared" si="16"/>
        <v>28333.333333333332</v>
      </c>
      <c r="N347" s="100">
        <f>IF(AND($F347&lt;=Assumptions!$B$6,OR($G347="",$G347&gt;Assumptions!$B$6)),1,0)</f>
        <v>1</v>
      </c>
      <c r="O347" s="82">
        <f t="shared" si="17"/>
        <v>85000</v>
      </c>
    </row>
    <row r="348" spans="1:15" x14ac:dyDescent="0.25">
      <c r="A348" s="76" t="s">
        <v>1379</v>
      </c>
      <c r="B348" s="76" t="s">
        <v>766</v>
      </c>
      <c r="C348" s="76" t="s">
        <v>355</v>
      </c>
      <c r="D348" s="76" t="s">
        <v>691</v>
      </c>
      <c r="E348" s="77">
        <v>2</v>
      </c>
      <c r="F348" s="103">
        <v>46113</v>
      </c>
      <c r="H348" s="78">
        <v>80000</v>
      </c>
      <c r="J348" s="100">
        <f>IF($F348&lt;DATE(Assumptions!$B$7,1,1),1,IF(YEAR($F348)&gt;Assumptions!$B$7,13,MONTH($F348)))</f>
        <v>4</v>
      </c>
      <c r="K348" s="100">
        <f>IF(OR($G348="",$G348&gt;Assumptions!$B$6),Assumptions!$B$8,IF($G348&lt;DATE(Assumptions!$B$7,1,1),0,MONTH($G348)))</f>
        <v>8</v>
      </c>
      <c r="L348" s="113">
        <f t="shared" si="15"/>
        <v>5</v>
      </c>
      <c r="M348" s="82">
        <f t="shared" si="16"/>
        <v>33333.333333333336</v>
      </c>
      <c r="N348" s="100">
        <f>IF(AND($F348&lt;=Assumptions!$B$6,OR($G348="",$G348&gt;Assumptions!$B$6)),1,0)</f>
        <v>1</v>
      </c>
      <c r="O348" s="82">
        <f t="shared" si="17"/>
        <v>80000</v>
      </c>
    </row>
    <row r="349" spans="1:15" x14ac:dyDescent="0.25">
      <c r="A349" s="76" t="s">
        <v>1380</v>
      </c>
      <c r="B349" s="76" t="s">
        <v>767</v>
      </c>
      <c r="C349" s="76" t="s">
        <v>355</v>
      </c>
      <c r="D349" s="76" t="s">
        <v>693</v>
      </c>
      <c r="E349" s="77">
        <v>1</v>
      </c>
      <c r="F349" s="103">
        <v>46174</v>
      </c>
      <c r="H349" s="78">
        <v>63500</v>
      </c>
      <c r="J349" s="100">
        <f>IF($F349&lt;DATE(Assumptions!$B$7,1,1),1,IF(YEAR($F349)&gt;Assumptions!$B$7,13,MONTH($F349)))</f>
        <v>6</v>
      </c>
      <c r="K349" s="100">
        <f>IF(OR($G349="",$G349&gt;Assumptions!$B$6),Assumptions!$B$8,IF($G349&lt;DATE(Assumptions!$B$7,1,1),0,MONTH($G349)))</f>
        <v>8</v>
      </c>
      <c r="L349" s="113">
        <f t="shared" si="15"/>
        <v>3</v>
      </c>
      <c r="M349" s="82">
        <f t="shared" si="16"/>
        <v>15875</v>
      </c>
      <c r="N349" s="100">
        <f>IF(AND($F349&lt;=Assumptions!$B$6,OR($G349="",$G349&gt;Assumptions!$B$6)),1,0)</f>
        <v>1</v>
      </c>
      <c r="O349" s="82">
        <f t="shared" si="17"/>
        <v>63500</v>
      </c>
    </row>
    <row r="350" spans="1:15" x14ac:dyDescent="0.25">
      <c r="A350" s="76" t="s">
        <v>1381</v>
      </c>
      <c r="B350" s="76" t="s">
        <v>768</v>
      </c>
      <c r="C350" s="76" t="s">
        <v>361</v>
      </c>
      <c r="D350" s="76" t="s">
        <v>769</v>
      </c>
      <c r="E350" s="77">
        <v>1</v>
      </c>
      <c r="F350" s="103">
        <v>42186</v>
      </c>
      <c r="H350" s="78">
        <v>64300</v>
      </c>
      <c r="J350" s="100">
        <f>IF($F350&lt;DATE(Assumptions!$B$7,1,1),1,IF(YEAR($F350)&gt;Assumptions!$B$7,13,MONTH($F350)))</f>
        <v>1</v>
      </c>
      <c r="K350" s="100">
        <f>IF(OR($G350="",$G350&gt;Assumptions!$B$6),Assumptions!$B$8,IF($G350&lt;DATE(Assumptions!$B$7,1,1),0,MONTH($G350)))</f>
        <v>8</v>
      </c>
      <c r="L350" s="113">
        <f t="shared" si="15"/>
        <v>8</v>
      </c>
      <c r="M350" s="82">
        <f t="shared" si="16"/>
        <v>42866.666666666664</v>
      </c>
      <c r="N350" s="100">
        <f>IF(AND($F350&lt;=Assumptions!$B$6,OR($G350="",$G350&gt;Assumptions!$B$6)),1,0)</f>
        <v>1</v>
      </c>
      <c r="O350" s="82">
        <f t="shared" si="17"/>
        <v>64300</v>
      </c>
    </row>
    <row r="351" spans="1:15" x14ac:dyDescent="0.25">
      <c r="A351" s="76" t="s">
        <v>1382</v>
      </c>
      <c r="B351" s="76" t="s">
        <v>770</v>
      </c>
      <c r="C351" s="76" t="s">
        <v>361</v>
      </c>
      <c r="D351" s="76" t="s">
        <v>771</v>
      </c>
      <c r="E351" s="77">
        <v>1</v>
      </c>
      <c r="F351" s="103">
        <v>41791</v>
      </c>
      <c r="H351" s="78">
        <v>69500</v>
      </c>
      <c r="J351" s="100">
        <f>IF($F351&lt;DATE(Assumptions!$B$7,1,1),1,IF(YEAR($F351)&gt;Assumptions!$B$7,13,MONTH($F351)))</f>
        <v>1</v>
      </c>
      <c r="K351" s="100">
        <f>IF(OR($G351="",$G351&gt;Assumptions!$B$6),Assumptions!$B$8,IF($G351&lt;DATE(Assumptions!$B$7,1,1),0,MONTH($G351)))</f>
        <v>8</v>
      </c>
      <c r="L351" s="113">
        <f t="shared" si="15"/>
        <v>8</v>
      </c>
      <c r="M351" s="82">
        <f t="shared" si="16"/>
        <v>46333.333333333336</v>
      </c>
      <c r="N351" s="100">
        <f>IF(AND($F351&lt;=Assumptions!$B$6,OR($G351="",$G351&gt;Assumptions!$B$6)),1,0)</f>
        <v>1</v>
      </c>
      <c r="O351" s="82">
        <f t="shared" si="17"/>
        <v>69500</v>
      </c>
    </row>
    <row r="352" spans="1:15" x14ac:dyDescent="0.25">
      <c r="A352" s="76" t="s">
        <v>1383</v>
      </c>
      <c r="B352" s="76" t="s">
        <v>772</v>
      </c>
      <c r="C352" s="76" t="s">
        <v>361</v>
      </c>
      <c r="D352" s="76" t="s">
        <v>769</v>
      </c>
      <c r="E352" s="77">
        <v>1</v>
      </c>
      <c r="F352" s="103">
        <v>42767</v>
      </c>
      <c r="H352" s="78">
        <v>62700</v>
      </c>
      <c r="J352" s="100">
        <f>IF($F352&lt;DATE(Assumptions!$B$7,1,1),1,IF(YEAR($F352)&gt;Assumptions!$B$7,13,MONTH($F352)))</f>
        <v>1</v>
      </c>
      <c r="K352" s="100">
        <f>IF(OR($G352="",$G352&gt;Assumptions!$B$6),Assumptions!$B$8,IF($G352&lt;DATE(Assumptions!$B$7,1,1),0,MONTH($G352)))</f>
        <v>8</v>
      </c>
      <c r="L352" s="113">
        <f t="shared" si="15"/>
        <v>8</v>
      </c>
      <c r="M352" s="82">
        <f t="shared" si="16"/>
        <v>41800</v>
      </c>
      <c r="N352" s="100">
        <f>IF(AND($F352&lt;=Assumptions!$B$6,OR($G352="",$G352&gt;Assumptions!$B$6)),1,0)</f>
        <v>1</v>
      </c>
      <c r="O352" s="82">
        <f t="shared" si="17"/>
        <v>62700</v>
      </c>
    </row>
    <row r="353" spans="1:15" x14ac:dyDescent="0.25">
      <c r="A353" s="76" t="s">
        <v>1384</v>
      </c>
      <c r="B353" s="76" t="s">
        <v>773</v>
      </c>
      <c r="C353" s="76" t="s">
        <v>361</v>
      </c>
      <c r="D353" s="76" t="s">
        <v>774</v>
      </c>
      <c r="E353" s="77">
        <v>4</v>
      </c>
      <c r="F353" s="103">
        <v>44652</v>
      </c>
      <c r="H353" s="78">
        <v>155100</v>
      </c>
      <c r="J353" s="100">
        <f>IF($F353&lt;DATE(Assumptions!$B$7,1,1),1,IF(YEAR($F353)&gt;Assumptions!$B$7,13,MONTH($F353)))</f>
        <v>1</v>
      </c>
      <c r="K353" s="100">
        <f>IF(OR($G353="",$G353&gt;Assumptions!$B$6),Assumptions!$B$8,IF($G353&lt;DATE(Assumptions!$B$7,1,1),0,MONTH($G353)))</f>
        <v>8</v>
      </c>
      <c r="L353" s="113">
        <f t="shared" si="15"/>
        <v>8</v>
      </c>
      <c r="M353" s="82">
        <f t="shared" si="16"/>
        <v>103400</v>
      </c>
      <c r="N353" s="100">
        <f>IF(AND($F353&lt;=Assumptions!$B$6,OR($G353="",$G353&gt;Assumptions!$B$6)),1,0)</f>
        <v>1</v>
      </c>
      <c r="O353" s="82">
        <f t="shared" si="17"/>
        <v>155100</v>
      </c>
    </row>
    <row r="354" spans="1:15" x14ac:dyDescent="0.25">
      <c r="A354" s="76" t="s">
        <v>1385</v>
      </c>
      <c r="B354" s="76" t="s">
        <v>775</v>
      </c>
      <c r="C354" s="76" t="s">
        <v>361</v>
      </c>
      <c r="D354" s="76" t="s">
        <v>776</v>
      </c>
      <c r="E354" s="77">
        <v>3</v>
      </c>
      <c r="F354" s="103">
        <v>41852</v>
      </c>
      <c r="H354" s="78">
        <v>109600</v>
      </c>
      <c r="J354" s="100">
        <f>IF($F354&lt;DATE(Assumptions!$B$7,1,1),1,IF(YEAR($F354)&gt;Assumptions!$B$7,13,MONTH($F354)))</f>
        <v>1</v>
      </c>
      <c r="K354" s="100">
        <f>IF(OR($G354="",$G354&gt;Assumptions!$B$6),Assumptions!$B$8,IF($G354&lt;DATE(Assumptions!$B$7,1,1),0,MONTH($G354)))</f>
        <v>8</v>
      </c>
      <c r="L354" s="113">
        <f t="shared" si="15"/>
        <v>8</v>
      </c>
      <c r="M354" s="82">
        <f t="shared" si="16"/>
        <v>73066.666666666672</v>
      </c>
      <c r="N354" s="100">
        <f>IF(AND($F354&lt;=Assumptions!$B$6,OR($G354="",$G354&gt;Assumptions!$B$6)),1,0)</f>
        <v>1</v>
      </c>
      <c r="O354" s="82">
        <f t="shared" si="17"/>
        <v>109600</v>
      </c>
    </row>
    <row r="355" spans="1:15" x14ac:dyDescent="0.25">
      <c r="A355" s="76" t="s">
        <v>1386</v>
      </c>
      <c r="B355" s="76" t="s">
        <v>777</v>
      </c>
      <c r="C355" s="76" t="s">
        <v>361</v>
      </c>
      <c r="D355" s="76" t="s">
        <v>769</v>
      </c>
      <c r="E355" s="77">
        <v>1</v>
      </c>
      <c r="F355" s="103">
        <v>43009</v>
      </c>
      <c r="H355" s="78">
        <v>67900</v>
      </c>
      <c r="J355" s="100">
        <f>IF($F355&lt;DATE(Assumptions!$B$7,1,1),1,IF(YEAR($F355)&gt;Assumptions!$B$7,13,MONTH($F355)))</f>
        <v>1</v>
      </c>
      <c r="K355" s="100">
        <f>IF(OR($G355="",$G355&gt;Assumptions!$B$6),Assumptions!$B$8,IF($G355&lt;DATE(Assumptions!$B$7,1,1),0,MONTH($G355)))</f>
        <v>8</v>
      </c>
      <c r="L355" s="113">
        <f t="shared" si="15"/>
        <v>8</v>
      </c>
      <c r="M355" s="82">
        <f t="shared" si="16"/>
        <v>45266.666666666664</v>
      </c>
      <c r="N355" s="100">
        <f>IF(AND($F355&lt;=Assumptions!$B$6,OR($G355="",$G355&gt;Assumptions!$B$6)),1,0)</f>
        <v>1</v>
      </c>
      <c r="O355" s="82">
        <f t="shared" si="17"/>
        <v>67900</v>
      </c>
    </row>
    <row r="356" spans="1:15" x14ac:dyDescent="0.25">
      <c r="A356" s="76" t="s">
        <v>1387</v>
      </c>
      <c r="B356" s="76" t="s">
        <v>778</v>
      </c>
      <c r="C356" s="76" t="s">
        <v>361</v>
      </c>
      <c r="D356" s="76" t="s">
        <v>776</v>
      </c>
      <c r="E356" s="77">
        <v>3</v>
      </c>
      <c r="F356" s="103">
        <v>42917</v>
      </c>
      <c r="H356" s="78">
        <v>105800</v>
      </c>
      <c r="J356" s="100">
        <f>IF($F356&lt;DATE(Assumptions!$B$7,1,1),1,IF(YEAR($F356)&gt;Assumptions!$B$7,13,MONTH($F356)))</f>
        <v>1</v>
      </c>
      <c r="K356" s="100">
        <f>IF(OR($G356="",$G356&gt;Assumptions!$B$6),Assumptions!$B$8,IF($G356&lt;DATE(Assumptions!$B$7,1,1),0,MONTH($G356)))</f>
        <v>8</v>
      </c>
      <c r="L356" s="113">
        <f t="shared" si="15"/>
        <v>8</v>
      </c>
      <c r="M356" s="82">
        <f t="shared" si="16"/>
        <v>70533.333333333328</v>
      </c>
      <c r="N356" s="100">
        <f>IF(AND($F356&lt;=Assumptions!$B$6,OR($G356="",$G356&gt;Assumptions!$B$6)),1,0)</f>
        <v>1</v>
      </c>
      <c r="O356" s="82">
        <f t="shared" si="17"/>
        <v>105800</v>
      </c>
    </row>
    <row r="357" spans="1:15" x14ac:dyDescent="0.25">
      <c r="A357" s="76" t="s">
        <v>1388</v>
      </c>
      <c r="B357" s="76" t="s">
        <v>779</v>
      </c>
      <c r="C357" s="76" t="s">
        <v>361</v>
      </c>
      <c r="D357" s="76" t="s">
        <v>769</v>
      </c>
      <c r="E357" s="77">
        <v>1</v>
      </c>
      <c r="F357" s="103">
        <v>45108</v>
      </c>
      <c r="G357" s="103">
        <v>46053</v>
      </c>
      <c r="H357" s="78">
        <v>55300</v>
      </c>
      <c r="J357" s="100">
        <f>IF($F357&lt;DATE(Assumptions!$B$7,1,1),1,IF(YEAR($F357)&gt;Assumptions!$B$7,13,MONTH($F357)))</f>
        <v>1</v>
      </c>
      <c r="K357" s="100">
        <f>IF(OR($G357="",$G357&gt;Assumptions!$B$6),Assumptions!$B$8,IF($G357&lt;DATE(Assumptions!$B$7,1,1),0,MONTH($G357)))</f>
        <v>1</v>
      </c>
      <c r="L357" s="113">
        <f t="shared" si="15"/>
        <v>1</v>
      </c>
      <c r="M357" s="82">
        <f t="shared" si="16"/>
        <v>4608.333333333333</v>
      </c>
      <c r="N357" s="100">
        <f>IF(AND($F357&lt;=Assumptions!$B$6,OR($G357="",$G357&gt;Assumptions!$B$6)),1,0)</f>
        <v>0</v>
      </c>
      <c r="O357" s="82">
        <f t="shared" si="17"/>
        <v>0</v>
      </c>
    </row>
    <row r="358" spans="1:15" x14ac:dyDescent="0.25">
      <c r="A358" s="76" t="s">
        <v>1389</v>
      </c>
      <c r="B358" s="76" t="s">
        <v>779</v>
      </c>
      <c r="C358" s="76" t="s">
        <v>361</v>
      </c>
      <c r="D358" s="76" t="s">
        <v>769</v>
      </c>
      <c r="E358" s="77">
        <v>1</v>
      </c>
      <c r="F358" s="103">
        <v>46082</v>
      </c>
      <c r="H358" s="78">
        <v>56000</v>
      </c>
      <c r="J358" s="100">
        <f>IF($F358&lt;DATE(Assumptions!$B$7,1,1),1,IF(YEAR($F358)&gt;Assumptions!$B$7,13,MONTH($F358)))</f>
        <v>3</v>
      </c>
      <c r="K358" s="100">
        <f>IF(OR($G358="",$G358&gt;Assumptions!$B$6),Assumptions!$B$8,IF($G358&lt;DATE(Assumptions!$B$7,1,1),0,MONTH($G358)))</f>
        <v>8</v>
      </c>
      <c r="L358" s="113">
        <f t="shared" si="15"/>
        <v>6</v>
      </c>
      <c r="M358" s="82">
        <f t="shared" si="16"/>
        <v>28000</v>
      </c>
      <c r="N358" s="100">
        <f>IF(AND($F358&lt;=Assumptions!$B$6,OR($G358="",$G358&gt;Assumptions!$B$6)),1,0)</f>
        <v>1</v>
      </c>
      <c r="O358" s="82">
        <f t="shared" si="17"/>
        <v>56000</v>
      </c>
    </row>
    <row r="359" spans="1:15" x14ac:dyDescent="0.25">
      <c r="A359" s="76" t="s">
        <v>1390</v>
      </c>
      <c r="B359" s="76" t="s">
        <v>780</v>
      </c>
      <c r="C359" s="76" t="s">
        <v>361</v>
      </c>
      <c r="D359" s="76" t="s">
        <v>771</v>
      </c>
      <c r="E359" s="77">
        <v>1</v>
      </c>
      <c r="F359" s="103">
        <v>42309</v>
      </c>
      <c r="H359" s="78">
        <v>66400</v>
      </c>
      <c r="J359" s="100">
        <f>IF($F359&lt;DATE(Assumptions!$B$7,1,1),1,IF(YEAR($F359)&gt;Assumptions!$B$7,13,MONTH($F359)))</f>
        <v>1</v>
      </c>
      <c r="K359" s="100">
        <f>IF(OR($G359="",$G359&gt;Assumptions!$B$6),Assumptions!$B$8,IF($G359&lt;DATE(Assumptions!$B$7,1,1),0,MONTH($G359)))</f>
        <v>8</v>
      </c>
      <c r="L359" s="113">
        <f t="shared" si="15"/>
        <v>8</v>
      </c>
      <c r="M359" s="82">
        <f t="shared" si="16"/>
        <v>44266.666666666664</v>
      </c>
      <c r="N359" s="100">
        <f>IF(AND($F359&lt;=Assumptions!$B$6,OR($G359="",$G359&gt;Assumptions!$B$6)),1,0)</f>
        <v>1</v>
      </c>
      <c r="O359" s="82">
        <f t="shared" si="17"/>
        <v>66400</v>
      </c>
    </row>
    <row r="360" spans="1:15" x14ac:dyDescent="0.25">
      <c r="A360" s="76" t="s">
        <v>1391</v>
      </c>
      <c r="B360" s="76" t="s">
        <v>781</v>
      </c>
      <c r="C360" s="76" t="s">
        <v>361</v>
      </c>
      <c r="D360" s="76" t="s">
        <v>769</v>
      </c>
      <c r="E360" s="77">
        <v>1</v>
      </c>
      <c r="F360" s="103">
        <v>43132</v>
      </c>
      <c r="H360" s="78">
        <v>64900</v>
      </c>
      <c r="J360" s="100">
        <f>IF($F360&lt;DATE(Assumptions!$B$7,1,1),1,IF(YEAR($F360)&gt;Assumptions!$B$7,13,MONTH($F360)))</f>
        <v>1</v>
      </c>
      <c r="K360" s="100">
        <f>IF(OR($G360="",$G360&gt;Assumptions!$B$6),Assumptions!$B$8,IF($G360&lt;DATE(Assumptions!$B$7,1,1),0,MONTH($G360)))</f>
        <v>8</v>
      </c>
      <c r="L360" s="113">
        <f t="shared" si="15"/>
        <v>8</v>
      </c>
      <c r="M360" s="82">
        <f t="shared" si="16"/>
        <v>43266.666666666664</v>
      </c>
      <c r="N360" s="100">
        <f>IF(AND($F360&lt;=Assumptions!$B$6,OR($G360="",$G360&gt;Assumptions!$B$6)),1,0)</f>
        <v>1</v>
      </c>
      <c r="O360" s="82">
        <f t="shared" si="17"/>
        <v>64900</v>
      </c>
    </row>
    <row r="361" spans="1:15" x14ac:dyDescent="0.25">
      <c r="A361" s="76" t="s">
        <v>1392</v>
      </c>
      <c r="B361" s="76" t="s">
        <v>782</v>
      </c>
      <c r="C361" s="76" t="s">
        <v>361</v>
      </c>
      <c r="D361" s="76" t="s">
        <v>776</v>
      </c>
      <c r="E361" s="77">
        <v>3</v>
      </c>
      <c r="F361" s="103">
        <v>43739</v>
      </c>
      <c r="G361" s="103">
        <v>46234</v>
      </c>
      <c r="H361" s="78">
        <v>121800</v>
      </c>
      <c r="J361" s="100">
        <f>IF($F361&lt;DATE(Assumptions!$B$7,1,1),1,IF(YEAR($F361)&gt;Assumptions!$B$7,13,MONTH($F361)))</f>
        <v>1</v>
      </c>
      <c r="K361" s="100">
        <f>IF(OR($G361="",$G361&gt;Assumptions!$B$6),Assumptions!$B$8,IF($G361&lt;DATE(Assumptions!$B$7,1,1),0,MONTH($G361)))</f>
        <v>7</v>
      </c>
      <c r="L361" s="113">
        <f t="shared" si="15"/>
        <v>7</v>
      </c>
      <c r="M361" s="82">
        <f t="shared" si="16"/>
        <v>71050</v>
      </c>
      <c r="N361" s="100">
        <f>IF(AND($F361&lt;=Assumptions!$B$6,OR($G361="",$G361&gt;Assumptions!$B$6)),1,0)</f>
        <v>0</v>
      </c>
      <c r="O361" s="82">
        <f t="shared" si="17"/>
        <v>0</v>
      </c>
    </row>
    <row r="362" spans="1:15" x14ac:dyDescent="0.25">
      <c r="A362" s="76" t="s">
        <v>1393</v>
      </c>
      <c r="B362" s="76" t="s">
        <v>783</v>
      </c>
      <c r="C362" s="76" t="s">
        <v>361</v>
      </c>
      <c r="D362" s="76" t="s">
        <v>769</v>
      </c>
      <c r="E362" s="77">
        <v>1</v>
      </c>
      <c r="F362" s="103">
        <v>43009</v>
      </c>
      <c r="H362" s="78">
        <v>66400</v>
      </c>
      <c r="J362" s="100">
        <f>IF($F362&lt;DATE(Assumptions!$B$7,1,1),1,IF(YEAR($F362)&gt;Assumptions!$B$7,13,MONTH($F362)))</f>
        <v>1</v>
      </c>
      <c r="K362" s="100">
        <f>IF(OR($G362="",$G362&gt;Assumptions!$B$6),Assumptions!$B$8,IF($G362&lt;DATE(Assumptions!$B$7,1,1),0,MONTH($G362)))</f>
        <v>8</v>
      </c>
      <c r="L362" s="113">
        <f t="shared" si="15"/>
        <v>8</v>
      </c>
      <c r="M362" s="82">
        <f t="shared" si="16"/>
        <v>44266.666666666664</v>
      </c>
      <c r="N362" s="100">
        <f>IF(AND($F362&lt;=Assumptions!$B$6,OR($G362="",$G362&gt;Assumptions!$B$6)),1,0)</f>
        <v>1</v>
      </c>
      <c r="O362" s="82">
        <f t="shared" si="17"/>
        <v>66400</v>
      </c>
    </row>
    <row r="363" spans="1:15" x14ac:dyDescent="0.25">
      <c r="A363" s="76" t="s">
        <v>1394</v>
      </c>
      <c r="B363" s="76" t="s">
        <v>784</v>
      </c>
      <c r="C363" s="76" t="s">
        <v>361</v>
      </c>
      <c r="D363" s="76" t="s">
        <v>769</v>
      </c>
      <c r="E363" s="77">
        <v>1</v>
      </c>
      <c r="F363" s="103">
        <v>43466</v>
      </c>
      <c r="H363" s="78">
        <v>60200</v>
      </c>
      <c r="J363" s="100">
        <f>IF($F363&lt;DATE(Assumptions!$B$7,1,1),1,IF(YEAR($F363)&gt;Assumptions!$B$7,13,MONTH($F363)))</f>
        <v>1</v>
      </c>
      <c r="K363" s="100">
        <f>IF(OR($G363="",$G363&gt;Assumptions!$B$6),Assumptions!$B$8,IF($G363&lt;DATE(Assumptions!$B$7,1,1),0,MONTH($G363)))</f>
        <v>8</v>
      </c>
      <c r="L363" s="113">
        <f t="shared" si="15"/>
        <v>8</v>
      </c>
      <c r="M363" s="82">
        <f t="shared" si="16"/>
        <v>40133.333333333336</v>
      </c>
      <c r="N363" s="100">
        <f>IF(AND($F363&lt;=Assumptions!$B$6,OR($G363="",$G363&gt;Assumptions!$B$6)),1,0)</f>
        <v>1</v>
      </c>
      <c r="O363" s="82">
        <f t="shared" si="17"/>
        <v>60200</v>
      </c>
    </row>
    <row r="364" spans="1:15" x14ac:dyDescent="0.25">
      <c r="A364" s="76" t="s">
        <v>1395</v>
      </c>
      <c r="B364" s="76" t="s">
        <v>785</v>
      </c>
      <c r="C364" s="76" t="s">
        <v>361</v>
      </c>
      <c r="D364" s="76" t="s">
        <v>769</v>
      </c>
      <c r="E364" s="77">
        <v>1</v>
      </c>
      <c r="F364" s="103">
        <v>42278</v>
      </c>
      <c r="H364" s="78">
        <v>62200</v>
      </c>
      <c r="J364" s="100">
        <f>IF($F364&lt;DATE(Assumptions!$B$7,1,1),1,IF(YEAR($F364)&gt;Assumptions!$B$7,13,MONTH($F364)))</f>
        <v>1</v>
      </c>
      <c r="K364" s="100">
        <f>IF(OR($G364="",$G364&gt;Assumptions!$B$6),Assumptions!$B$8,IF($G364&lt;DATE(Assumptions!$B$7,1,1),0,MONTH($G364)))</f>
        <v>8</v>
      </c>
      <c r="L364" s="113">
        <f t="shared" si="15"/>
        <v>8</v>
      </c>
      <c r="M364" s="82">
        <f t="shared" si="16"/>
        <v>41466.666666666664</v>
      </c>
      <c r="N364" s="100">
        <f>IF(AND($F364&lt;=Assumptions!$B$6,OR($G364="",$G364&gt;Assumptions!$B$6)),1,0)</f>
        <v>1</v>
      </c>
      <c r="O364" s="82">
        <f t="shared" si="17"/>
        <v>62200</v>
      </c>
    </row>
    <row r="365" spans="1:15" x14ac:dyDescent="0.25">
      <c r="A365" s="76" t="s">
        <v>1396</v>
      </c>
      <c r="B365" s="76" t="s">
        <v>786</v>
      </c>
      <c r="C365" s="76" t="s">
        <v>361</v>
      </c>
      <c r="D365" s="76" t="s">
        <v>776</v>
      </c>
      <c r="E365" s="77">
        <v>3</v>
      </c>
      <c r="F365" s="103">
        <v>43344</v>
      </c>
      <c r="H365" s="78">
        <v>100900</v>
      </c>
      <c r="J365" s="100">
        <f>IF($F365&lt;DATE(Assumptions!$B$7,1,1),1,IF(YEAR($F365)&gt;Assumptions!$B$7,13,MONTH($F365)))</f>
        <v>1</v>
      </c>
      <c r="K365" s="100">
        <f>IF(OR($G365="",$G365&gt;Assumptions!$B$6),Assumptions!$B$8,IF($G365&lt;DATE(Assumptions!$B$7,1,1),0,MONTH($G365)))</f>
        <v>8</v>
      </c>
      <c r="L365" s="113">
        <f t="shared" si="15"/>
        <v>8</v>
      </c>
      <c r="M365" s="82">
        <f t="shared" si="16"/>
        <v>67266.666666666672</v>
      </c>
      <c r="N365" s="100">
        <f>IF(AND($F365&lt;=Assumptions!$B$6,OR($G365="",$G365&gt;Assumptions!$B$6)),1,0)</f>
        <v>1</v>
      </c>
      <c r="O365" s="82">
        <f t="shared" si="17"/>
        <v>100900</v>
      </c>
    </row>
    <row r="366" spans="1:15" x14ac:dyDescent="0.25">
      <c r="A366" s="76" t="s">
        <v>1397</v>
      </c>
      <c r="B366" s="76" t="s">
        <v>787</v>
      </c>
      <c r="C366" s="76" t="s">
        <v>361</v>
      </c>
      <c r="D366" s="76" t="s">
        <v>771</v>
      </c>
      <c r="E366" s="77">
        <v>1</v>
      </c>
      <c r="F366" s="103">
        <v>43070</v>
      </c>
      <c r="H366" s="78">
        <v>63500</v>
      </c>
      <c r="J366" s="100">
        <f>IF($F366&lt;DATE(Assumptions!$B$7,1,1),1,IF(YEAR($F366)&gt;Assumptions!$B$7,13,MONTH($F366)))</f>
        <v>1</v>
      </c>
      <c r="K366" s="100">
        <f>IF(OR($G366="",$G366&gt;Assumptions!$B$6),Assumptions!$B$8,IF($G366&lt;DATE(Assumptions!$B$7,1,1),0,MONTH($G366)))</f>
        <v>8</v>
      </c>
      <c r="L366" s="113">
        <f t="shared" si="15"/>
        <v>8</v>
      </c>
      <c r="M366" s="82">
        <f t="shared" si="16"/>
        <v>42333.333333333336</v>
      </c>
      <c r="N366" s="100">
        <f>IF(AND($F366&lt;=Assumptions!$B$6,OR($G366="",$G366&gt;Assumptions!$B$6)),1,0)</f>
        <v>1</v>
      </c>
      <c r="O366" s="82">
        <f t="shared" si="17"/>
        <v>63500</v>
      </c>
    </row>
    <row r="367" spans="1:15" x14ac:dyDescent="0.25">
      <c r="A367" s="76" t="s">
        <v>1398</v>
      </c>
      <c r="B367" s="76" t="s">
        <v>788</v>
      </c>
      <c r="C367" s="76" t="s">
        <v>361</v>
      </c>
      <c r="D367" s="76" t="s">
        <v>771</v>
      </c>
      <c r="E367" s="77">
        <v>1</v>
      </c>
      <c r="F367" s="103">
        <v>43556</v>
      </c>
      <c r="H367" s="78">
        <v>54700</v>
      </c>
      <c r="J367" s="100">
        <f>IF($F367&lt;DATE(Assumptions!$B$7,1,1),1,IF(YEAR($F367)&gt;Assumptions!$B$7,13,MONTH($F367)))</f>
        <v>1</v>
      </c>
      <c r="K367" s="100">
        <f>IF(OR($G367="",$G367&gt;Assumptions!$B$6),Assumptions!$B$8,IF($G367&lt;DATE(Assumptions!$B$7,1,1),0,MONTH($G367)))</f>
        <v>8</v>
      </c>
      <c r="L367" s="113">
        <f t="shared" si="15"/>
        <v>8</v>
      </c>
      <c r="M367" s="82">
        <f t="shared" si="16"/>
        <v>36466.666666666664</v>
      </c>
      <c r="N367" s="100">
        <f>IF(AND($F367&lt;=Assumptions!$B$6,OR($G367="",$G367&gt;Assumptions!$B$6)),1,0)</f>
        <v>1</v>
      </c>
      <c r="O367" s="82">
        <f t="shared" si="17"/>
        <v>54700</v>
      </c>
    </row>
    <row r="368" spans="1:15" x14ac:dyDescent="0.25">
      <c r="A368" s="76" t="s">
        <v>1399</v>
      </c>
      <c r="B368" s="76" t="s">
        <v>789</v>
      </c>
      <c r="C368" s="76" t="s">
        <v>361</v>
      </c>
      <c r="D368" s="76" t="s">
        <v>769</v>
      </c>
      <c r="E368" s="77">
        <v>1</v>
      </c>
      <c r="F368" s="103">
        <v>45748</v>
      </c>
      <c r="H368" s="78">
        <v>54300</v>
      </c>
      <c r="J368" s="100">
        <f>IF($F368&lt;DATE(Assumptions!$B$7,1,1),1,IF(YEAR($F368)&gt;Assumptions!$B$7,13,MONTH($F368)))</f>
        <v>1</v>
      </c>
      <c r="K368" s="100">
        <f>IF(OR($G368="",$G368&gt;Assumptions!$B$6),Assumptions!$B$8,IF($G368&lt;DATE(Assumptions!$B$7,1,1),0,MONTH($G368)))</f>
        <v>8</v>
      </c>
      <c r="L368" s="113">
        <f t="shared" si="15"/>
        <v>8</v>
      </c>
      <c r="M368" s="82">
        <f t="shared" si="16"/>
        <v>36200</v>
      </c>
      <c r="N368" s="100">
        <f>IF(AND($F368&lt;=Assumptions!$B$6,OR($G368="",$G368&gt;Assumptions!$B$6)),1,0)</f>
        <v>1</v>
      </c>
      <c r="O368" s="82">
        <f t="shared" si="17"/>
        <v>54300</v>
      </c>
    </row>
    <row r="369" spans="1:15" x14ac:dyDescent="0.25">
      <c r="A369" s="76" t="s">
        <v>1400</v>
      </c>
      <c r="B369" s="76" t="s">
        <v>790</v>
      </c>
      <c r="C369" s="76" t="s">
        <v>357</v>
      </c>
      <c r="D369" s="76" t="s">
        <v>791</v>
      </c>
      <c r="E369" s="77">
        <v>1</v>
      </c>
      <c r="F369" s="103">
        <v>44287</v>
      </c>
      <c r="H369" s="78">
        <v>62800</v>
      </c>
      <c r="J369" s="100">
        <f>IF($F369&lt;DATE(Assumptions!$B$7,1,1),1,IF(YEAR($F369)&gt;Assumptions!$B$7,13,MONTH($F369)))</f>
        <v>1</v>
      </c>
      <c r="K369" s="100">
        <f>IF(OR($G369="",$G369&gt;Assumptions!$B$6),Assumptions!$B$8,IF($G369&lt;DATE(Assumptions!$B$7,1,1),0,MONTH($G369)))</f>
        <v>8</v>
      </c>
      <c r="L369" s="113">
        <f t="shared" si="15"/>
        <v>8</v>
      </c>
      <c r="M369" s="82">
        <f t="shared" si="16"/>
        <v>41866.666666666664</v>
      </c>
      <c r="N369" s="100">
        <f>IF(AND($F369&lt;=Assumptions!$B$6,OR($G369="",$G369&gt;Assumptions!$B$6)),1,0)</f>
        <v>1</v>
      </c>
      <c r="O369" s="82">
        <f t="shared" si="17"/>
        <v>62800</v>
      </c>
    </row>
    <row r="370" spans="1:15" x14ac:dyDescent="0.25">
      <c r="A370" s="76" t="s">
        <v>1401</v>
      </c>
      <c r="B370" s="76" t="s">
        <v>792</v>
      </c>
      <c r="C370" s="76" t="s">
        <v>357</v>
      </c>
      <c r="D370" s="76" t="s">
        <v>791</v>
      </c>
      <c r="E370" s="77">
        <v>1</v>
      </c>
      <c r="F370" s="103">
        <v>44593</v>
      </c>
      <c r="H370" s="78">
        <v>56400</v>
      </c>
      <c r="J370" s="100">
        <f>IF($F370&lt;DATE(Assumptions!$B$7,1,1),1,IF(YEAR($F370)&gt;Assumptions!$B$7,13,MONTH($F370)))</f>
        <v>1</v>
      </c>
      <c r="K370" s="100">
        <f>IF(OR($G370="",$G370&gt;Assumptions!$B$6),Assumptions!$B$8,IF($G370&lt;DATE(Assumptions!$B$7,1,1),0,MONTH($G370)))</f>
        <v>8</v>
      </c>
      <c r="L370" s="113">
        <f t="shared" si="15"/>
        <v>8</v>
      </c>
      <c r="M370" s="82">
        <f t="shared" si="16"/>
        <v>37600</v>
      </c>
      <c r="N370" s="100">
        <f>IF(AND($F370&lt;=Assumptions!$B$6,OR($G370="",$G370&gt;Assumptions!$B$6)),1,0)</f>
        <v>1</v>
      </c>
      <c r="O370" s="82">
        <f t="shared" si="17"/>
        <v>56400</v>
      </c>
    </row>
    <row r="371" spans="1:15" x14ac:dyDescent="0.25">
      <c r="A371" s="76" t="s">
        <v>1402</v>
      </c>
      <c r="B371" s="76" t="s">
        <v>793</v>
      </c>
      <c r="C371" s="76" t="s">
        <v>357</v>
      </c>
      <c r="D371" s="76" t="s">
        <v>791</v>
      </c>
      <c r="E371" s="77">
        <v>1</v>
      </c>
      <c r="F371" s="103">
        <v>43891</v>
      </c>
      <c r="H371" s="78">
        <v>67600</v>
      </c>
      <c r="J371" s="100">
        <f>IF($F371&lt;DATE(Assumptions!$B$7,1,1),1,IF(YEAR($F371)&gt;Assumptions!$B$7,13,MONTH($F371)))</f>
        <v>1</v>
      </c>
      <c r="K371" s="100">
        <f>IF(OR($G371="",$G371&gt;Assumptions!$B$6),Assumptions!$B$8,IF($G371&lt;DATE(Assumptions!$B$7,1,1),0,MONTH($G371)))</f>
        <v>8</v>
      </c>
      <c r="L371" s="113">
        <f t="shared" si="15"/>
        <v>8</v>
      </c>
      <c r="M371" s="82">
        <f t="shared" si="16"/>
        <v>45066.666666666664</v>
      </c>
      <c r="N371" s="100">
        <f>IF(AND($F371&lt;=Assumptions!$B$6,OR($G371="",$G371&gt;Assumptions!$B$6)),1,0)</f>
        <v>1</v>
      </c>
      <c r="O371" s="82">
        <f t="shared" si="17"/>
        <v>67600</v>
      </c>
    </row>
    <row r="372" spans="1:15" x14ac:dyDescent="0.25">
      <c r="A372" s="76" t="s">
        <v>1403</v>
      </c>
      <c r="B372" s="76" t="s">
        <v>794</v>
      </c>
      <c r="C372" s="76" t="s">
        <v>357</v>
      </c>
      <c r="D372" s="76" t="s">
        <v>795</v>
      </c>
      <c r="E372" s="77">
        <v>2</v>
      </c>
      <c r="F372" s="103">
        <v>41791</v>
      </c>
      <c r="H372" s="78">
        <v>96400</v>
      </c>
      <c r="J372" s="100">
        <f>IF($F372&lt;DATE(Assumptions!$B$7,1,1),1,IF(YEAR($F372)&gt;Assumptions!$B$7,13,MONTH($F372)))</f>
        <v>1</v>
      </c>
      <c r="K372" s="100">
        <f>IF(OR($G372="",$G372&gt;Assumptions!$B$6),Assumptions!$B$8,IF($G372&lt;DATE(Assumptions!$B$7,1,1),0,MONTH($G372)))</f>
        <v>8</v>
      </c>
      <c r="L372" s="113">
        <f t="shared" si="15"/>
        <v>8</v>
      </c>
      <c r="M372" s="82">
        <f t="shared" si="16"/>
        <v>64266.666666666664</v>
      </c>
      <c r="N372" s="100">
        <f>IF(AND($F372&lt;=Assumptions!$B$6,OR($G372="",$G372&gt;Assumptions!$B$6)),1,0)</f>
        <v>1</v>
      </c>
      <c r="O372" s="82">
        <f t="shared" si="17"/>
        <v>96400</v>
      </c>
    </row>
    <row r="373" spans="1:15" x14ac:dyDescent="0.25">
      <c r="A373" s="76" t="s">
        <v>1404</v>
      </c>
      <c r="B373" s="76" t="s">
        <v>796</v>
      </c>
      <c r="C373" s="76" t="s">
        <v>357</v>
      </c>
      <c r="D373" s="76" t="s">
        <v>791</v>
      </c>
      <c r="E373" s="77">
        <v>1</v>
      </c>
      <c r="F373" s="103">
        <v>44013</v>
      </c>
      <c r="H373" s="78">
        <v>61800</v>
      </c>
      <c r="J373" s="100">
        <f>IF($F373&lt;DATE(Assumptions!$B$7,1,1),1,IF(YEAR($F373)&gt;Assumptions!$B$7,13,MONTH($F373)))</f>
        <v>1</v>
      </c>
      <c r="K373" s="100">
        <f>IF(OR($G373="",$G373&gt;Assumptions!$B$6),Assumptions!$B$8,IF($G373&lt;DATE(Assumptions!$B$7,1,1),0,MONTH($G373)))</f>
        <v>8</v>
      </c>
      <c r="L373" s="113">
        <f t="shared" si="15"/>
        <v>8</v>
      </c>
      <c r="M373" s="82">
        <f t="shared" si="16"/>
        <v>41200</v>
      </c>
      <c r="N373" s="100">
        <f>IF(AND($F373&lt;=Assumptions!$B$6,OR($G373="",$G373&gt;Assumptions!$B$6)),1,0)</f>
        <v>1</v>
      </c>
      <c r="O373" s="82">
        <f t="shared" si="17"/>
        <v>61800</v>
      </c>
    </row>
    <row r="374" spans="1:15" x14ac:dyDescent="0.25">
      <c r="A374" s="76" t="s">
        <v>1405</v>
      </c>
      <c r="B374" s="76" t="s">
        <v>797</v>
      </c>
      <c r="C374" s="76" t="s">
        <v>357</v>
      </c>
      <c r="D374" s="76" t="s">
        <v>795</v>
      </c>
      <c r="E374" s="77">
        <v>2</v>
      </c>
      <c r="F374" s="103">
        <v>42125</v>
      </c>
      <c r="H374" s="78">
        <v>87200</v>
      </c>
      <c r="J374" s="100">
        <f>IF($F374&lt;DATE(Assumptions!$B$7,1,1),1,IF(YEAR($F374)&gt;Assumptions!$B$7,13,MONTH($F374)))</f>
        <v>1</v>
      </c>
      <c r="K374" s="100">
        <f>IF(OR($G374="",$G374&gt;Assumptions!$B$6),Assumptions!$B$8,IF($G374&lt;DATE(Assumptions!$B$7,1,1),0,MONTH($G374)))</f>
        <v>8</v>
      </c>
      <c r="L374" s="113">
        <f t="shared" si="15"/>
        <v>8</v>
      </c>
      <c r="M374" s="82">
        <f t="shared" si="16"/>
        <v>58133.333333333336</v>
      </c>
      <c r="N374" s="100">
        <f>IF(AND($F374&lt;=Assumptions!$B$6,OR($G374="",$G374&gt;Assumptions!$B$6)),1,0)</f>
        <v>1</v>
      </c>
      <c r="O374" s="82">
        <f t="shared" si="17"/>
        <v>87200</v>
      </c>
    </row>
    <row r="375" spans="1:15" x14ac:dyDescent="0.25">
      <c r="A375" s="76" t="s">
        <v>1406</v>
      </c>
      <c r="B375" s="76" t="s">
        <v>798</v>
      </c>
      <c r="C375" s="76" t="s">
        <v>357</v>
      </c>
      <c r="D375" s="76" t="s">
        <v>799</v>
      </c>
      <c r="E375" s="77">
        <v>3</v>
      </c>
      <c r="F375" s="103">
        <v>44197</v>
      </c>
      <c r="H375" s="78">
        <v>127300</v>
      </c>
      <c r="J375" s="100">
        <f>IF($F375&lt;DATE(Assumptions!$B$7,1,1),1,IF(YEAR($F375)&gt;Assumptions!$B$7,13,MONTH($F375)))</f>
        <v>1</v>
      </c>
      <c r="K375" s="100">
        <f>IF(OR($G375="",$G375&gt;Assumptions!$B$6),Assumptions!$B$8,IF($G375&lt;DATE(Assumptions!$B$7,1,1),0,MONTH($G375)))</f>
        <v>8</v>
      </c>
      <c r="L375" s="113">
        <f t="shared" si="15"/>
        <v>8</v>
      </c>
      <c r="M375" s="82">
        <f t="shared" si="16"/>
        <v>84866.666666666672</v>
      </c>
      <c r="N375" s="100">
        <f>IF(AND($F375&lt;=Assumptions!$B$6,OR($G375="",$G375&gt;Assumptions!$B$6)),1,0)</f>
        <v>1</v>
      </c>
      <c r="O375" s="82">
        <f t="shared" si="17"/>
        <v>127300</v>
      </c>
    </row>
    <row r="376" spans="1:15" x14ac:dyDescent="0.25">
      <c r="A376" s="76" t="s">
        <v>1407</v>
      </c>
      <c r="B376" s="76" t="s">
        <v>800</v>
      </c>
      <c r="C376" s="76" t="s">
        <v>357</v>
      </c>
      <c r="D376" s="76" t="s">
        <v>795</v>
      </c>
      <c r="E376" s="77">
        <v>2</v>
      </c>
      <c r="F376" s="103">
        <v>44044</v>
      </c>
      <c r="H376" s="78">
        <v>95500</v>
      </c>
      <c r="J376" s="100">
        <f>IF($F376&lt;DATE(Assumptions!$B$7,1,1),1,IF(YEAR($F376)&gt;Assumptions!$B$7,13,MONTH($F376)))</f>
        <v>1</v>
      </c>
      <c r="K376" s="100">
        <f>IF(OR($G376="",$G376&gt;Assumptions!$B$6),Assumptions!$B$8,IF($G376&lt;DATE(Assumptions!$B$7,1,1),0,MONTH($G376)))</f>
        <v>8</v>
      </c>
      <c r="L376" s="113">
        <f t="shared" si="15"/>
        <v>8</v>
      </c>
      <c r="M376" s="82">
        <f t="shared" si="16"/>
        <v>63666.666666666664</v>
      </c>
      <c r="N376" s="100">
        <f>IF(AND($F376&lt;=Assumptions!$B$6,OR($G376="",$G376&gt;Assumptions!$B$6)),1,0)</f>
        <v>1</v>
      </c>
      <c r="O376" s="82">
        <f t="shared" si="17"/>
        <v>95500</v>
      </c>
    </row>
    <row r="377" spans="1:15" x14ac:dyDescent="0.25">
      <c r="A377" s="76" t="s">
        <v>1408</v>
      </c>
      <c r="B377" s="76" t="s">
        <v>801</v>
      </c>
      <c r="C377" s="76" t="s">
        <v>357</v>
      </c>
      <c r="D377" s="76" t="s">
        <v>795</v>
      </c>
      <c r="E377" s="77">
        <v>2</v>
      </c>
      <c r="F377" s="103">
        <v>45901</v>
      </c>
      <c r="H377" s="78">
        <v>86800</v>
      </c>
      <c r="J377" s="100">
        <f>IF($F377&lt;DATE(Assumptions!$B$7,1,1),1,IF(YEAR($F377)&gt;Assumptions!$B$7,13,MONTH($F377)))</f>
        <v>1</v>
      </c>
      <c r="K377" s="100">
        <f>IF(OR($G377="",$G377&gt;Assumptions!$B$6),Assumptions!$B$8,IF($G377&lt;DATE(Assumptions!$B$7,1,1),0,MONTH($G377)))</f>
        <v>8</v>
      </c>
      <c r="L377" s="113">
        <f t="shared" si="15"/>
        <v>8</v>
      </c>
      <c r="M377" s="82">
        <f t="shared" si="16"/>
        <v>57866.666666666664</v>
      </c>
      <c r="N377" s="100">
        <f>IF(AND($F377&lt;=Assumptions!$B$6,OR($G377="",$G377&gt;Assumptions!$B$6)),1,0)</f>
        <v>1</v>
      </c>
      <c r="O377" s="82">
        <f t="shared" si="17"/>
        <v>86800</v>
      </c>
    </row>
    <row r="378" spans="1:15" x14ac:dyDescent="0.25">
      <c r="A378" s="76" t="s">
        <v>1409</v>
      </c>
      <c r="B378" s="76" t="s">
        <v>802</v>
      </c>
      <c r="C378" s="76" t="s">
        <v>357</v>
      </c>
      <c r="D378" s="76" t="s">
        <v>795</v>
      </c>
      <c r="E378" s="77">
        <v>2</v>
      </c>
      <c r="F378" s="103">
        <v>42917</v>
      </c>
      <c r="H378" s="78">
        <v>82300</v>
      </c>
      <c r="J378" s="100">
        <f>IF($F378&lt;DATE(Assumptions!$B$7,1,1),1,IF(YEAR($F378)&gt;Assumptions!$B$7,13,MONTH($F378)))</f>
        <v>1</v>
      </c>
      <c r="K378" s="100">
        <f>IF(OR($G378="",$G378&gt;Assumptions!$B$6),Assumptions!$B$8,IF($G378&lt;DATE(Assumptions!$B$7,1,1),0,MONTH($G378)))</f>
        <v>8</v>
      </c>
      <c r="L378" s="113">
        <f t="shared" si="15"/>
        <v>8</v>
      </c>
      <c r="M378" s="82">
        <f t="shared" si="16"/>
        <v>54866.666666666664</v>
      </c>
      <c r="N378" s="100">
        <f>IF(AND($F378&lt;=Assumptions!$B$6,OR($G378="",$G378&gt;Assumptions!$B$6)),1,0)</f>
        <v>1</v>
      </c>
      <c r="O378" s="82">
        <f t="shared" si="17"/>
        <v>82300</v>
      </c>
    </row>
    <row r="379" spans="1:15" x14ac:dyDescent="0.25">
      <c r="A379" s="76" t="s">
        <v>1410</v>
      </c>
      <c r="B379" s="76" t="s">
        <v>803</v>
      </c>
      <c r="C379" s="76" t="s">
        <v>357</v>
      </c>
      <c r="D379" s="76" t="s">
        <v>795</v>
      </c>
      <c r="E379" s="77">
        <v>2</v>
      </c>
      <c r="F379" s="103">
        <v>42856</v>
      </c>
      <c r="H379" s="78">
        <v>95400</v>
      </c>
      <c r="J379" s="100">
        <f>IF($F379&lt;DATE(Assumptions!$B$7,1,1),1,IF(YEAR($F379)&gt;Assumptions!$B$7,13,MONTH($F379)))</f>
        <v>1</v>
      </c>
      <c r="K379" s="100">
        <f>IF(OR($G379="",$G379&gt;Assumptions!$B$6),Assumptions!$B$8,IF($G379&lt;DATE(Assumptions!$B$7,1,1),0,MONTH($G379)))</f>
        <v>8</v>
      </c>
      <c r="L379" s="113">
        <f t="shared" si="15"/>
        <v>8</v>
      </c>
      <c r="M379" s="82">
        <f t="shared" si="16"/>
        <v>63600</v>
      </c>
      <c r="N379" s="100">
        <f>IF(AND($F379&lt;=Assumptions!$B$6,OR($G379="",$G379&gt;Assumptions!$B$6)),1,0)</f>
        <v>1</v>
      </c>
      <c r="O379" s="82">
        <f t="shared" si="17"/>
        <v>95400</v>
      </c>
    </row>
    <row r="380" spans="1:15" x14ac:dyDescent="0.25">
      <c r="A380" s="76" t="s">
        <v>1411</v>
      </c>
      <c r="B380" s="76" t="s">
        <v>804</v>
      </c>
      <c r="C380" s="76" t="s">
        <v>357</v>
      </c>
      <c r="D380" s="76" t="s">
        <v>791</v>
      </c>
      <c r="E380" s="77">
        <v>1</v>
      </c>
      <c r="F380" s="103">
        <v>41944</v>
      </c>
      <c r="G380" s="103">
        <v>46112</v>
      </c>
      <c r="H380" s="78">
        <v>60700</v>
      </c>
      <c r="J380" s="100">
        <f>IF($F380&lt;DATE(Assumptions!$B$7,1,1),1,IF(YEAR($F380)&gt;Assumptions!$B$7,13,MONTH($F380)))</f>
        <v>1</v>
      </c>
      <c r="K380" s="100">
        <f>IF(OR($G380="",$G380&gt;Assumptions!$B$6),Assumptions!$B$8,IF($G380&lt;DATE(Assumptions!$B$7,1,1),0,MONTH($G380)))</f>
        <v>3</v>
      </c>
      <c r="L380" s="113">
        <f t="shared" si="15"/>
        <v>3</v>
      </c>
      <c r="M380" s="82">
        <f t="shared" si="16"/>
        <v>15175</v>
      </c>
      <c r="N380" s="100">
        <f>IF(AND($F380&lt;=Assumptions!$B$6,OR($G380="",$G380&gt;Assumptions!$B$6)),1,0)</f>
        <v>0</v>
      </c>
      <c r="O380" s="82">
        <f t="shared" si="17"/>
        <v>0</v>
      </c>
    </row>
    <row r="381" spans="1:15" x14ac:dyDescent="0.25">
      <c r="A381" s="76" t="s">
        <v>1412</v>
      </c>
      <c r="B381" s="76" t="s">
        <v>804</v>
      </c>
      <c r="C381" s="76" t="s">
        <v>357</v>
      </c>
      <c r="D381" s="76" t="s">
        <v>791</v>
      </c>
      <c r="E381" s="77">
        <v>1</v>
      </c>
      <c r="F381" s="103">
        <v>46174</v>
      </c>
      <c r="H381" s="78">
        <v>65000</v>
      </c>
      <c r="J381" s="100">
        <f>IF($F381&lt;DATE(Assumptions!$B$7,1,1),1,IF(YEAR($F381)&gt;Assumptions!$B$7,13,MONTH($F381)))</f>
        <v>6</v>
      </c>
      <c r="K381" s="100">
        <f>IF(OR($G381="",$G381&gt;Assumptions!$B$6),Assumptions!$B$8,IF($G381&lt;DATE(Assumptions!$B$7,1,1),0,MONTH($G381)))</f>
        <v>8</v>
      </c>
      <c r="L381" s="113">
        <f t="shared" si="15"/>
        <v>3</v>
      </c>
      <c r="M381" s="82">
        <f t="shared" si="16"/>
        <v>16250</v>
      </c>
      <c r="N381" s="100">
        <f>IF(AND($F381&lt;=Assumptions!$B$6,OR($G381="",$G381&gt;Assumptions!$B$6)),1,0)</f>
        <v>1</v>
      </c>
      <c r="O381" s="82">
        <f t="shared" si="17"/>
        <v>65000</v>
      </c>
    </row>
    <row r="382" spans="1:15" x14ac:dyDescent="0.25">
      <c r="A382" s="76" t="s">
        <v>1413</v>
      </c>
      <c r="B382" s="76" t="s">
        <v>805</v>
      </c>
      <c r="C382" s="76" t="s">
        <v>357</v>
      </c>
      <c r="D382" s="76" t="s">
        <v>791</v>
      </c>
      <c r="E382" s="77">
        <v>1</v>
      </c>
      <c r="F382" s="103">
        <v>41699</v>
      </c>
      <c r="H382" s="78">
        <v>63100</v>
      </c>
      <c r="J382" s="100">
        <f>IF($F382&lt;DATE(Assumptions!$B$7,1,1),1,IF(YEAR($F382)&gt;Assumptions!$B$7,13,MONTH($F382)))</f>
        <v>1</v>
      </c>
      <c r="K382" s="100">
        <f>IF(OR($G382="",$G382&gt;Assumptions!$B$6),Assumptions!$B$8,IF($G382&lt;DATE(Assumptions!$B$7,1,1),0,MONTH($G382)))</f>
        <v>8</v>
      </c>
      <c r="L382" s="113">
        <f t="shared" si="15"/>
        <v>8</v>
      </c>
      <c r="M382" s="82">
        <f t="shared" si="16"/>
        <v>42066.666666666664</v>
      </c>
      <c r="N382" s="100">
        <f>IF(AND($F382&lt;=Assumptions!$B$6,OR($G382="",$G382&gt;Assumptions!$B$6)),1,0)</f>
        <v>1</v>
      </c>
      <c r="O382" s="82">
        <f t="shared" si="17"/>
        <v>63100</v>
      </c>
    </row>
    <row r="383" spans="1:15" x14ac:dyDescent="0.25">
      <c r="A383" s="76" t="s">
        <v>1414</v>
      </c>
      <c r="B383" s="76" t="s">
        <v>806</v>
      </c>
      <c r="C383" s="76" t="s">
        <v>357</v>
      </c>
      <c r="D383" s="76" t="s">
        <v>795</v>
      </c>
      <c r="E383" s="77">
        <v>2</v>
      </c>
      <c r="F383" s="103">
        <v>45597</v>
      </c>
      <c r="H383" s="78">
        <v>71700</v>
      </c>
      <c r="J383" s="100">
        <f>IF($F383&lt;DATE(Assumptions!$B$7,1,1),1,IF(YEAR($F383)&gt;Assumptions!$B$7,13,MONTH($F383)))</f>
        <v>1</v>
      </c>
      <c r="K383" s="100">
        <f>IF(OR($G383="",$G383&gt;Assumptions!$B$6),Assumptions!$B$8,IF($G383&lt;DATE(Assumptions!$B$7,1,1),0,MONTH($G383)))</f>
        <v>8</v>
      </c>
      <c r="L383" s="113">
        <f t="shared" si="15"/>
        <v>8</v>
      </c>
      <c r="M383" s="82">
        <f t="shared" si="16"/>
        <v>47800</v>
      </c>
      <c r="N383" s="100">
        <f>IF(AND($F383&lt;=Assumptions!$B$6,OR($G383="",$G383&gt;Assumptions!$B$6)),1,0)</f>
        <v>1</v>
      </c>
      <c r="O383" s="82">
        <f t="shared" si="17"/>
        <v>71700</v>
      </c>
    </row>
    <row r="384" spans="1:15" x14ac:dyDescent="0.25">
      <c r="A384" s="76" t="s">
        <v>1415</v>
      </c>
      <c r="B384" s="76" t="s">
        <v>807</v>
      </c>
      <c r="C384" s="76" t="s">
        <v>357</v>
      </c>
      <c r="D384" s="76" t="s">
        <v>791</v>
      </c>
      <c r="E384" s="77">
        <v>1</v>
      </c>
      <c r="F384" s="103">
        <v>43891</v>
      </c>
      <c r="H384" s="78">
        <v>67000</v>
      </c>
      <c r="J384" s="100">
        <f>IF($F384&lt;DATE(Assumptions!$B$7,1,1),1,IF(YEAR($F384)&gt;Assumptions!$B$7,13,MONTH($F384)))</f>
        <v>1</v>
      </c>
      <c r="K384" s="100">
        <f>IF(OR($G384="",$G384&gt;Assumptions!$B$6),Assumptions!$B$8,IF($G384&lt;DATE(Assumptions!$B$7,1,1),0,MONTH($G384)))</f>
        <v>8</v>
      </c>
      <c r="L384" s="113">
        <f t="shared" si="15"/>
        <v>8</v>
      </c>
      <c r="M384" s="82">
        <f t="shared" si="16"/>
        <v>44666.666666666664</v>
      </c>
      <c r="N384" s="100">
        <f>IF(AND($F384&lt;=Assumptions!$B$6,OR($G384="",$G384&gt;Assumptions!$B$6)),1,0)</f>
        <v>1</v>
      </c>
      <c r="O384" s="82">
        <f t="shared" si="17"/>
        <v>67000</v>
      </c>
    </row>
    <row r="385" spans="1:15" x14ac:dyDescent="0.25">
      <c r="A385" s="76" t="s">
        <v>1416</v>
      </c>
      <c r="B385" s="76" t="s">
        <v>808</v>
      </c>
      <c r="C385" s="76" t="s">
        <v>357</v>
      </c>
      <c r="D385" s="76" t="s">
        <v>799</v>
      </c>
      <c r="E385" s="77">
        <v>3</v>
      </c>
      <c r="F385" s="103">
        <v>44501</v>
      </c>
      <c r="H385" s="78">
        <v>111700</v>
      </c>
      <c r="J385" s="100">
        <f>IF($F385&lt;DATE(Assumptions!$B$7,1,1),1,IF(YEAR($F385)&gt;Assumptions!$B$7,13,MONTH($F385)))</f>
        <v>1</v>
      </c>
      <c r="K385" s="100">
        <f>IF(OR($G385="",$G385&gt;Assumptions!$B$6),Assumptions!$B$8,IF($G385&lt;DATE(Assumptions!$B$7,1,1),0,MONTH($G385)))</f>
        <v>8</v>
      </c>
      <c r="L385" s="113">
        <f t="shared" si="15"/>
        <v>8</v>
      </c>
      <c r="M385" s="82">
        <f t="shared" si="16"/>
        <v>74466.666666666672</v>
      </c>
      <c r="N385" s="100">
        <f>IF(AND($F385&lt;=Assumptions!$B$6,OR($G385="",$G385&gt;Assumptions!$B$6)),1,0)</f>
        <v>1</v>
      </c>
      <c r="O385" s="82">
        <f t="shared" si="17"/>
        <v>111700</v>
      </c>
    </row>
    <row r="386" spans="1:15" x14ac:dyDescent="0.25">
      <c r="A386" s="76" t="s">
        <v>1417</v>
      </c>
      <c r="B386" s="76" t="s">
        <v>809</v>
      </c>
      <c r="C386" s="76" t="s">
        <v>357</v>
      </c>
      <c r="D386" s="76" t="s">
        <v>791</v>
      </c>
      <c r="E386" s="77">
        <v>1</v>
      </c>
      <c r="F386" s="103">
        <v>42064</v>
      </c>
      <c r="H386" s="78">
        <v>57300</v>
      </c>
      <c r="J386" s="100">
        <f>IF($F386&lt;DATE(Assumptions!$B$7,1,1),1,IF(YEAR($F386)&gt;Assumptions!$B$7,13,MONTH($F386)))</f>
        <v>1</v>
      </c>
      <c r="K386" s="100">
        <f>IF(OR($G386="",$G386&gt;Assumptions!$B$6),Assumptions!$B$8,IF($G386&lt;DATE(Assumptions!$B$7,1,1),0,MONTH($G386)))</f>
        <v>8</v>
      </c>
      <c r="L386" s="113">
        <f t="shared" si="15"/>
        <v>8</v>
      </c>
      <c r="M386" s="82">
        <f t="shared" si="16"/>
        <v>38200</v>
      </c>
      <c r="N386" s="100">
        <f>IF(AND($F386&lt;=Assumptions!$B$6,OR($G386="",$G386&gt;Assumptions!$B$6)),1,0)</f>
        <v>1</v>
      </c>
      <c r="O386" s="82">
        <f t="shared" si="17"/>
        <v>57300</v>
      </c>
    </row>
    <row r="387" spans="1:15" x14ac:dyDescent="0.25">
      <c r="A387" s="76" t="s">
        <v>1418</v>
      </c>
      <c r="B387" s="76" t="s">
        <v>810</v>
      </c>
      <c r="C387" s="76" t="s">
        <v>357</v>
      </c>
      <c r="D387" s="76" t="s">
        <v>791</v>
      </c>
      <c r="E387" s="77">
        <v>1</v>
      </c>
      <c r="F387" s="103">
        <v>44044</v>
      </c>
      <c r="H387" s="78">
        <v>67100</v>
      </c>
      <c r="J387" s="100">
        <f>IF($F387&lt;DATE(Assumptions!$B$7,1,1),1,IF(YEAR($F387)&gt;Assumptions!$B$7,13,MONTH($F387)))</f>
        <v>1</v>
      </c>
      <c r="K387" s="100">
        <f>IF(OR($G387="",$G387&gt;Assumptions!$B$6),Assumptions!$B$8,IF($G387&lt;DATE(Assumptions!$B$7,1,1),0,MONTH($G387)))</f>
        <v>8</v>
      </c>
      <c r="L387" s="113">
        <f t="shared" si="15"/>
        <v>8</v>
      </c>
      <c r="M387" s="82">
        <f t="shared" si="16"/>
        <v>44733.333333333336</v>
      </c>
      <c r="N387" s="100">
        <f>IF(AND($F387&lt;=Assumptions!$B$6,OR($G387="",$G387&gt;Assumptions!$B$6)),1,0)</f>
        <v>1</v>
      </c>
      <c r="O387" s="82">
        <f t="shared" si="17"/>
        <v>67100</v>
      </c>
    </row>
    <row r="388" spans="1:15" x14ac:dyDescent="0.25">
      <c r="A388" s="76" t="s">
        <v>1419</v>
      </c>
      <c r="B388" s="76" t="s">
        <v>811</v>
      </c>
      <c r="C388" s="76" t="s">
        <v>357</v>
      </c>
      <c r="D388" s="76" t="s">
        <v>795</v>
      </c>
      <c r="E388" s="77">
        <v>2</v>
      </c>
      <c r="F388" s="103">
        <v>43770</v>
      </c>
      <c r="H388" s="78">
        <v>82500</v>
      </c>
      <c r="J388" s="100">
        <f>IF($F388&lt;DATE(Assumptions!$B$7,1,1),1,IF(YEAR($F388)&gt;Assumptions!$B$7,13,MONTH($F388)))</f>
        <v>1</v>
      </c>
      <c r="K388" s="100">
        <f>IF(OR($G388="",$G388&gt;Assumptions!$B$6),Assumptions!$B$8,IF($G388&lt;DATE(Assumptions!$B$7,1,1),0,MONTH($G388)))</f>
        <v>8</v>
      </c>
      <c r="L388" s="113">
        <f t="shared" si="15"/>
        <v>8</v>
      </c>
      <c r="M388" s="82">
        <f t="shared" si="16"/>
        <v>55000</v>
      </c>
      <c r="N388" s="100">
        <f>IF(AND($F388&lt;=Assumptions!$B$6,OR($G388="",$G388&gt;Assumptions!$B$6)),1,0)</f>
        <v>1</v>
      </c>
      <c r="O388" s="82">
        <f t="shared" si="17"/>
        <v>82500</v>
      </c>
    </row>
    <row r="389" spans="1:15" x14ac:dyDescent="0.25">
      <c r="A389" s="76" t="s">
        <v>1420</v>
      </c>
      <c r="B389" s="76" t="s">
        <v>812</v>
      </c>
      <c r="C389" s="76" t="s">
        <v>357</v>
      </c>
      <c r="D389" s="76" t="s">
        <v>791</v>
      </c>
      <c r="E389" s="77">
        <v>1</v>
      </c>
      <c r="F389" s="103">
        <v>42186</v>
      </c>
      <c r="H389" s="78">
        <v>53200</v>
      </c>
      <c r="J389" s="100">
        <f>IF($F389&lt;DATE(Assumptions!$B$7,1,1),1,IF(YEAR($F389)&gt;Assumptions!$B$7,13,MONTH($F389)))</f>
        <v>1</v>
      </c>
      <c r="K389" s="100">
        <f>IF(OR($G389="",$G389&gt;Assumptions!$B$6),Assumptions!$B$8,IF($G389&lt;DATE(Assumptions!$B$7,1,1),0,MONTH($G389)))</f>
        <v>8</v>
      </c>
      <c r="L389" s="113">
        <f t="shared" ref="L389:L452" si="18">MAX(0,K389-J389+1)</f>
        <v>8</v>
      </c>
      <c r="M389" s="82">
        <f t="shared" ref="M389:M452" si="19">$H389*L389/12</f>
        <v>35466.666666666664</v>
      </c>
      <c r="N389" s="100">
        <f>IF(AND($F389&lt;=Assumptions!$B$6,OR($G389="",$G389&gt;Assumptions!$B$6)),1,0)</f>
        <v>1</v>
      </c>
      <c r="O389" s="82">
        <f t="shared" ref="O389:O452" si="20">$H389*N389</f>
        <v>53200</v>
      </c>
    </row>
    <row r="390" spans="1:15" x14ac:dyDescent="0.25">
      <c r="A390" s="76" t="s">
        <v>1421</v>
      </c>
      <c r="B390" s="76" t="s">
        <v>813</v>
      </c>
      <c r="C390" s="76" t="s">
        <v>357</v>
      </c>
      <c r="D390" s="76" t="s">
        <v>791</v>
      </c>
      <c r="E390" s="77">
        <v>1</v>
      </c>
      <c r="F390" s="103">
        <v>45748</v>
      </c>
      <c r="H390" s="78">
        <v>61300</v>
      </c>
      <c r="J390" s="100">
        <f>IF($F390&lt;DATE(Assumptions!$B$7,1,1),1,IF(YEAR($F390)&gt;Assumptions!$B$7,13,MONTH($F390)))</f>
        <v>1</v>
      </c>
      <c r="K390" s="100">
        <f>IF(OR($G390="",$G390&gt;Assumptions!$B$6),Assumptions!$B$8,IF($G390&lt;DATE(Assumptions!$B$7,1,1),0,MONTH($G390)))</f>
        <v>8</v>
      </c>
      <c r="L390" s="113">
        <f t="shared" si="18"/>
        <v>8</v>
      </c>
      <c r="M390" s="82">
        <f t="shared" si="19"/>
        <v>40866.666666666664</v>
      </c>
      <c r="N390" s="100">
        <f>IF(AND($F390&lt;=Assumptions!$B$6,OR($G390="",$G390&gt;Assumptions!$B$6)),1,0)</f>
        <v>1</v>
      </c>
      <c r="O390" s="82">
        <f t="shared" si="20"/>
        <v>61300</v>
      </c>
    </row>
    <row r="391" spans="1:15" x14ac:dyDescent="0.25">
      <c r="A391" s="76" t="s">
        <v>1422</v>
      </c>
      <c r="B391" s="76" t="s">
        <v>814</v>
      </c>
      <c r="C391" s="76" t="s">
        <v>357</v>
      </c>
      <c r="D391" s="76" t="s">
        <v>791</v>
      </c>
      <c r="E391" s="77">
        <v>1</v>
      </c>
      <c r="F391" s="103">
        <v>43466</v>
      </c>
      <c r="H391" s="78">
        <v>58300</v>
      </c>
      <c r="J391" s="100">
        <f>IF($F391&lt;DATE(Assumptions!$B$7,1,1),1,IF(YEAR($F391)&gt;Assumptions!$B$7,13,MONTH($F391)))</f>
        <v>1</v>
      </c>
      <c r="K391" s="100">
        <f>IF(OR($G391="",$G391&gt;Assumptions!$B$6),Assumptions!$B$8,IF($G391&lt;DATE(Assumptions!$B$7,1,1),0,MONTH($G391)))</f>
        <v>8</v>
      </c>
      <c r="L391" s="113">
        <f t="shared" si="18"/>
        <v>8</v>
      </c>
      <c r="M391" s="82">
        <f t="shared" si="19"/>
        <v>38866.666666666664</v>
      </c>
      <c r="N391" s="100">
        <f>IF(AND($F391&lt;=Assumptions!$B$6,OR($G391="",$G391&gt;Assumptions!$B$6)),1,0)</f>
        <v>1</v>
      </c>
      <c r="O391" s="82">
        <f t="shared" si="20"/>
        <v>58300</v>
      </c>
    </row>
    <row r="392" spans="1:15" x14ac:dyDescent="0.25">
      <c r="A392" s="76" t="s">
        <v>1423</v>
      </c>
      <c r="B392" s="76" t="s">
        <v>815</v>
      </c>
      <c r="C392" s="76" t="s">
        <v>357</v>
      </c>
      <c r="D392" s="76" t="s">
        <v>795</v>
      </c>
      <c r="E392" s="77">
        <v>2</v>
      </c>
      <c r="F392" s="103">
        <v>42217</v>
      </c>
      <c r="H392" s="78">
        <v>95600</v>
      </c>
      <c r="J392" s="100">
        <f>IF($F392&lt;DATE(Assumptions!$B$7,1,1),1,IF(YEAR($F392)&gt;Assumptions!$B$7,13,MONTH($F392)))</f>
        <v>1</v>
      </c>
      <c r="K392" s="100">
        <f>IF(OR($G392="",$G392&gt;Assumptions!$B$6),Assumptions!$B$8,IF($G392&lt;DATE(Assumptions!$B$7,1,1),0,MONTH($G392)))</f>
        <v>8</v>
      </c>
      <c r="L392" s="113">
        <f t="shared" si="18"/>
        <v>8</v>
      </c>
      <c r="M392" s="82">
        <f t="shared" si="19"/>
        <v>63733.333333333336</v>
      </c>
      <c r="N392" s="100">
        <f>IF(AND($F392&lt;=Assumptions!$B$6,OR($G392="",$G392&gt;Assumptions!$B$6)),1,0)</f>
        <v>1</v>
      </c>
      <c r="O392" s="82">
        <f t="shared" si="20"/>
        <v>95600</v>
      </c>
    </row>
    <row r="393" spans="1:15" x14ac:dyDescent="0.25">
      <c r="A393" s="76" t="s">
        <v>1424</v>
      </c>
      <c r="B393" s="76" t="s">
        <v>816</v>
      </c>
      <c r="C393" s="76" t="s">
        <v>357</v>
      </c>
      <c r="D393" s="76" t="s">
        <v>795</v>
      </c>
      <c r="E393" s="77">
        <v>2</v>
      </c>
      <c r="F393" s="103">
        <v>43525</v>
      </c>
      <c r="H393" s="78">
        <v>95700</v>
      </c>
      <c r="J393" s="100">
        <f>IF($F393&lt;DATE(Assumptions!$B$7,1,1),1,IF(YEAR($F393)&gt;Assumptions!$B$7,13,MONTH($F393)))</f>
        <v>1</v>
      </c>
      <c r="K393" s="100">
        <f>IF(OR($G393="",$G393&gt;Assumptions!$B$6),Assumptions!$B$8,IF($G393&lt;DATE(Assumptions!$B$7,1,1),0,MONTH($G393)))</f>
        <v>8</v>
      </c>
      <c r="L393" s="113">
        <f t="shared" si="18"/>
        <v>8</v>
      </c>
      <c r="M393" s="82">
        <f t="shared" si="19"/>
        <v>63800</v>
      </c>
      <c r="N393" s="100">
        <f>IF(AND($F393&lt;=Assumptions!$B$6,OR($G393="",$G393&gt;Assumptions!$B$6)),1,0)</f>
        <v>1</v>
      </c>
      <c r="O393" s="82">
        <f t="shared" si="20"/>
        <v>95700</v>
      </c>
    </row>
    <row r="394" spans="1:15" x14ac:dyDescent="0.25">
      <c r="A394" s="76" t="s">
        <v>1425</v>
      </c>
      <c r="B394" s="76" t="s">
        <v>817</v>
      </c>
      <c r="C394" s="76" t="s">
        <v>357</v>
      </c>
      <c r="D394" s="76" t="s">
        <v>791</v>
      </c>
      <c r="E394" s="77">
        <v>1</v>
      </c>
      <c r="F394" s="103">
        <v>43070</v>
      </c>
      <c r="H394" s="78">
        <v>54000</v>
      </c>
      <c r="J394" s="100">
        <f>IF($F394&lt;DATE(Assumptions!$B$7,1,1),1,IF(YEAR($F394)&gt;Assumptions!$B$7,13,MONTH($F394)))</f>
        <v>1</v>
      </c>
      <c r="K394" s="100">
        <f>IF(OR($G394="",$G394&gt;Assumptions!$B$6),Assumptions!$B$8,IF($G394&lt;DATE(Assumptions!$B$7,1,1),0,MONTH($G394)))</f>
        <v>8</v>
      </c>
      <c r="L394" s="113">
        <f t="shared" si="18"/>
        <v>8</v>
      </c>
      <c r="M394" s="82">
        <f t="shared" si="19"/>
        <v>36000</v>
      </c>
      <c r="N394" s="100">
        <f>IF(AND($F394&lt;=Assumptions!$B$6,OR($G394="",$G394&gt;Assumptions!$B$6)),1,0)</f>
        <v>1</v>
      </c>
      <c r="O394" s="82">
        <f t="shared" si="20"/>
        <v>54000</v>
      </c>
    </row>
    <row r="395" spans="1:15" x14ac:dyDescent="0.25">
      <c r="A395" s="76" t="s">
        <v>1426</v>
      </c>
      <c r="B395" s="76" t="s">
        <v>818</v>
      </c>
      <c r="C395" s="76" t="s">
        <v>357</v>
      </c>
      <c r="D395" s="76" t="s">
        <v>791</v>
      </c>
      <c r="E395" s="77">
        <v>1</v>
      </c>
      <c r="F395" s="103">
        <v>43497</v>
      </c>
      <c r="H395" s="78">
        <v>56300</v>
      </c>
      <c r="J395" s="100">
        <f>IF($F395&lt;DATE(Assumptions!$B$7,1,1),1,IF(YEAR($F395)&gt;Assumptions!$B$7,13,MONTH($F395)))</f>
        <v>1</v>
      </c>
      <c r="K395" s="100">
        <f>IF(OR($G395="",$G395&gt;Assumptions!$B$6),Assumptions!$B$8,IF($G395&lt;DATE(Assumptions!$B$7,1,1),0,MONTH($G395)))</f>
        <v>8</v>
      </c>
      <c r="L395" s="113">
        <f t="shared" si="18"/>
        <v>8</v>
      </c>
      <c r="M395" s="82">
        <f t="shared" si="19"/>
        <v>37533.333333333336</v>
      </c>
      <c r="N395" s="100">
        <f>IF(AND($F395&lt;=Assumptions!$B$6,OR($G395="",$G395&gt;Assumptions!$B$6)),1,0)</f>
        <v>1</v>
      </c>
      <c r="O395" s="82">
        <f t="shared" si="20"/>
        <v>56300</v>
      </c>
    </row>
    <row r="396" spans="1:15" x14ac:dyDescent="0.25">
      <c r="A396" s="76" t="s">
        <v>1427</v>
      </c>
      <c r="B396" s="76" t="s">
        <v>819</v>
      </c>
      <c r="C396" s="76" t="s">
        <v>357</v>
      </c>
      <c r="D396" s="76" t="s">
        <v>791</v>
      </c>
      <c r="E396" s="77">
        <v>1</v>
      </c>
      <c r="F396" s="103">
        <v>45627</v>
      </c>
      <c r="H396" s="78">
        <v>64000</v>
      </c>
      <c r="J396" s="100">
        <f>IF($F396&lt;DATE(Assumptions!$B$7,1,1),1,IF(YEAR($F396)&gt;Assumptions!$B$7,13,MONTH($F396)))</f>
        <v>1</v>
      </c>
      <c r="K396" s="100">
        <f>IF(OR($G396="",$G396&gt;Assumptions!$B$6),Assumptions!$B$8,IF($G396&lt;DATE(Assumptions!$B$7,1,1),0,MONTH($G396)))</f>
        <v>8</v>
      </c>
      <c r="L396" s="113">
        <f t="shared" si="18"/>
        <v>8</v>
      </c>
      <c r="M396" s="82">
        <f t="shared" si="19"/>
        <v>42666.666666666664</v>
      </c>
      <c r="N396" s="100">
        <f>IF(AND($F396&lt;=Assumptions!$B$6,OR($G396="",$G396&gt;Assumptions!$B$6)),1,0)</f>
        <v>1</v>
      </c>
      <c r="O396" s="82">
        <f t="shared" si="20"/>
        <v>64000</v>
      </c>
    </row>
    <row r="397" spans="1:15" x14ac:dyDescent="0.25">
      <c r="A397" s="76" t="s">
        <v>1428</v>
      </c>
      <c r="B397" s="76" t="s">
        <v>820</v>
      </c>
      <c r="C397" s="76" t="s">
        <v>357</v>
      </c>
      <c r="D397" s="76" t="s">
        <v>795</v>
      </c>
      <c r="E397" s="77">
        <v>2</v>
      </c>
      <c r="F397" s="103">
        <v>44075</v>
      </c>
      <c r="H397" s="78">
        <v>92500</v>
      </c>
      <c r="J397" s="100">
        <f>IF($F397&lt;DATE(Assumptions!$B$7,1,1),1,IF(YEAR($F397)&gt;Assumptions!$B$7,13,MONTH($F397)))</f>
        <v>1</v>
      </c>
      <c r="K397" s="100">
        <f>IF(OR($G397="",$G397&gt;Assumptions!$B$6),Assumptions!$B$8,IF($G397&lt;DATE(Assumptions!$B$7,1,1),0,MONTH($G397)))</f>
        <v>8</v>
      </c>
      <c r="L397" s="113">
        <f t="shared" si="18"/>
        <v>8</v>
      </c>
      <c r="M397" s="82">
        <f t="shared" si="19"/>
        <v>61666.666666666664</v>
      </c>
      <c r="N397" s="100">
        <f>IF(AND($F397&lt;=Assumptions!$B$6,OR($G397="",$G397&gt;Assumptions!$B$6)),1,0)</f>
        <v>1</v>
      </c>
      <c r="O397" s="82">
        <f t="shared" si="20"/>
        <v>92500</v>
      </c>
    </row>
    <row r="398" spans="1:15" x14ac:dyDescent="0.25">
      <c r="A398" s="76" t="s">
        <v>1429</v>
      </c>
      <c r="B398" s="76" t="s">
        <v>821</v>
      </c>
      <c r="C398" s="76" t="s">
        <v>357</v>
      </c>
      <c r="D398" s="76" t="s">
        <v>799</v>
      </c>
      <c r="E398" s="77">
        <v>3</v>
      </c>
      <c r="F398" s="103">
        <v>43252</v>
      </c>
      <c r="H398" s="78">
        <v>120900</v>
      </c>
      <c r="J398" s="100">
        <f>IF($F398&lt;DATE(Assumptions!$B$7,1,1),1,IF(YEAR($F398)&gt;Assumptions!$B$7,13,MONTH($F398)))</f>
        <v>1</v>
      </c>
      <c r="K398" s="100">
        <f>IF(OR($G398="",$G398&gt;Assumptions!$B$6),Assumptions!$B$8,IF($G398&lt;DATE(Assumptions!$B$7,1,1),0,MONTH($G398)))</f>
        <v>8</v>
      </c>
      <c r="L398" s="113">
        <f t="shared" si="18"/>
        <v>8</v>
      </c>
      <c r="M398" s="82">
        <f t="shared" si="19"/>
        <v>80600</v>
      </c>
      <c r="N398" s="100">
        <f>IF(AND($F398&lt;=Assumptions!$B$6,OR($G398="",$G398&gt;Assumptions!$B$6)),1,0)</f>
        <v>1</v>
      </c>
      <c r="O398" s="82">
        <f t="shared" si="20"/>
        <v>120900</v>
      </c>
    </row>
    <row r="399" spans="1:15" x14ac:dyDescent="0.25">
      <c r="A399" s="76" t="s">
        <v>1430</v>
      </c>
      <c r="B399" s="76" t="s">
        <v>822</v>
      </c>
      <c r="C399" s="76" t="s">
        <v>357</v>
      </c>
      <c r="D399" s="76" t="s">
        <v>795</v>
      </c>
      <c r="E399" s="77">
        <v>2</v>
      </c>
      <c r="F399" s="103">
        <v>44197</v>
      </c>
      <c r="H399" s="78">
        <v>87000</v>
      </c>
      <c r="J399" s="100">
        <f>IF($F399&lt;DATE(Assumptions!$B$7,1,1),1,IF(YEAR($F399)&gt;Assumptions!$B$7,13,MONTH($F399)))</f>
        <v>1</v>
      </c>
      <c r="K399" s="100">
        <f>IF(OR($G399="",$G399&gt;Assumptions!$B$6),Assumptions!$B$8,IF($G399&lt;DATE(Assumptions!$B$7,1,1),0,MONTH($G399)))</f>
        <v>8</v>
      </c>
      <c r="L399" s="113">
        <f t="shared" si="18"/>
        <v>8</v>
      </c>
      <c r="M399" s="82">
        <f t="shared" si="19"/>
        <v>58000</v>
      </c>
      <c r="N399" s="100">
        <f>IF(AND($F399&lt;=Assumptions!$B$6,OR($G399="",$G399&gt;Assumptions!$B$6)),1,0)</f>
        <v>1</v>
      </c>
      <c r="O399" s="82">
        <f t="shared" si="20"/>
        <v>87000</v>
      </c>
    </row>
    <row r="400" spans="1:15" x14ac:dyDescent="0.25">
      <c r="A400" s="76" t="s">
        <v>1431</v>
      </c>
      <c r="B400" s="76" t="s">
        <v>823</v>
      </c>
      <c r="C400" s="76" t="s">
        <v>357</v>
      </c>
      <c r="D400" s="76" t="s">
        <v>795</v>
      </c>
      <c r="E400" s="77">
        <v>2</v>
      </c>
      <c r="F400" s="103">
        <v>46143</v>
      </c>
      <c r="H400" s="78">
        <v>90500</v>
      </c>
      <c r="J400" s="100">
        <f>IF($F400&lt;DATE(Assumptions!$B$7,1,1),1,IF(YEAR($F400)&gt;Assumptions!$B$7,13,MONTH($F400)))</f>
        <v>5</v>
      </c>
      <c r="K400" s="100">
        <f>IF(OR($G400="",$G400&gt;Assumptions!$B$6),Assumptions!$B$8,IF($G400&lt;DATE(Assumptions!$B$7,1,1),0,MONTH($G400)))</f>
        <v>8</v>
      </c>
      <c r="L400" s="113">
        <f t="shared" si="18"/>
        <v>4</v>
      </c>
      <c r="M400" s="82">
        <f t="shared" si="19"/>
        <v>30166.666666666668</v>
      </c>
      <c r="N400" s="100">
        <f>IF(AND($F400&lt;=Assumptions!$B$6,OR($G400="",$G400&gt;Assumptions!$B$6)),1,0)</f>
        <v>1</v>
      </c>
      <c r="O400" s="82">
        <f t="shared" si="20"/>
        <v>90500</v>
      </c>
    </row>
    <row r="401" spans="1:15" x14ac:dyDescent="0.25">
      <c r="A401" s="76" t="s">
        <v>1432</v>
      </c>
      <c r="B401" s="76" t="s">
        <v>825</v>
      </c>
      <c r="C401" s="76" t="s">
        <v>359</v>
      </c>
      <c r="D401" s="76" t="s">
        <v>826</v>
      </c>
      <c r="E401" s="77">
        <v>2</v>
      </c>
      <c r="F401" s="103">
        <v>42522</v>
      </c>
      <c r="H401" s="78">
        <v>84200</v>
      </c>
      <c r="J401" s="100">
        <f>IF($F401&lt;DATE(Assumptions!$B$7,1,1),1,IF(YEAR($F401)&gt;Assumptions!$B$7,13,MONTH($F401)))</f>
        <v>1</v>
      </c>
      <c r="K401" s="100">
        <f>IF(OR($G401="",$G401&gt;Assumptions!$B$6),Assumptions!$B$8,IF($G401&lt;DATE(Assumptions!$B$7,1,1),0,MONTH($G401)))</f>
        <v>8</v>
      </c>
      <c r="L401" s="113">
        <f t="shared" si="18"/>
        <v>8</v>
      </c>
      <c r="M401" s="82">
        <f t="shared" si="19"/>
        <v>56133.333333333336</v>
      </c>
      <c r="N401" s="100">
        <f>IF(AND($F401&lt;=Assumptions!$B$6,OR($G401="",$G401&gt;Assumptions!$B$6)),1,0)</f>
        <v>1</v>
      </c>
      <c r="O401" s="82">
        <f t="shared" si="20"/>
        <v>84200</v>
      </c>
    </row>
    <row r="402" spans="1:15" x14ac:dyDescent="0.25">
      <c r="A402" s="76" t="s">
        <v>1433</v>
      </c>
      <c r="B402" s="76" t="s">
        <v>827</v>
      </c>
      <c r="C402" s="76" t="s">
        <v>359</v>
      </c>
      <c r="D402" s="76" t="s">
        <v>828</v>
      </c>
      <c r="E402" s="77">
        <v>3</v>
      </c>
      <c r="F402" s="103">
        <v>45901</v>
      </c>
      <c r="H402" s="78">
        <v>104300</v>
      </c>
      <c r="J402" s="100">
        <f>IF($F402&lt;DATE(Assumptions!$B$7,1,1),1,IF(YEAR($F402)&gt;Assumptions!$B$7,13,MONTH($F402)))</f>
        <v>1</v>
      </c>
      <c r="K402" s="100">
        <f>IF(OR($G402="",$G402&gt;Assumptions!$B$6),Assumptions!$B$8,IF($G402&lt;DATE(Assumptions!$B$7,1,1),0,MONTH($G402)))</f>
        <v>8</v>
      </c>
      <c r="L402" s="113">
        <f t="shared" si="18"/>
        <v>8</v>
      </c>
      <c r="M402" s="82">
        <f t="shared" si="19"/>
        <v>69533.333333333328</v>
      </c>
      <c r="N402" s="100">
        <f>IF(AND($F402&lt;=Assumptions!$B$6,OR($G402="",$G402&gt;Assumptions!$B$6)),1,0)</f>
        <v>1</v>
      </c>
      <c r="O402" s="82">
        <f t="shared" si="20"/>
        <v>104300</v>
      </c>
    </row>
    <row r="403" spans="1:15" x14ac:dyDescent="0.25">
      <c r="A403" s="76" t="s">
        <v>1434</v>
      </c>
      <c r="B403" s="76" t="s">
        <v>829</v>
      </c>
      <c r="C403" s="76" t="s">
        <v>359</v>
      </c>
      <c r="D403" s="76" t="s">
        <v>830</v>
      </c>
      <c r="E403" s="77">
        <v>1</v>
      </c>
      <c r="F403" s="103">
        <v>45047</v>
      </c>
      <c r="H403" s="78">
        <v>62600</v>
      </c>
      <c r="J403" s="100">
        <f>IF($F403&lt;DATE(Assumptions!$B$7,1,1),1,IF(YEAR($F403)&gt;Assumptions!$B$7,13,MONTH($F403)))</f>
        <v>1</v>
      </c>
      <c r="K403" s="100">
        <f>IF(OR($G403="",$G403&gt;Assumptions!$B$6),Assumptions!$B$8,IF($G403&lt;DATE(Assumptions!$B$7,1,1),0,MONTH($G403)))</f>
        <v>8</v>
      </c>
      <c r="L403" s="113">
        <f t="shared" si="18"/>
        <v>8</v>
      </c>
      <c r="M403" s="82">
        <f t="shared" si="19"/>
        <v>41733.333333333336</v>
      </c>
      <c r="N403" s="100">
        <f>IF(AND($F403&lt;=Assumptions!$B$6,OR($G403="",$G403&gt;Assumptions!$B$6)),1,0)</f>
        <v>1</v>
      </c>
      <c r="O403" s="82">
        <f t="shared" si="20"/>
        <v>62600</v>
      </c>
    </row>
    <row r="404" spans="1:15" x14ac:dyDescent="0.25">
      <c r="A404" s="76" t="s">
        <v>1435</v>
      </c>
      <c r="B404" s="76" t="s">
        <v>831</v>
      </c>
      <c r="C404" s="76" t="s">
        <v>359</v>
      </c>
      <c r="D404" s="76" t="s">
        <v>826</v>
      </c>
      <c r="E404" s="77">
        <v>2</v>
      </c>
      <c r="F404" s="103">
        <v>42705</v>
      </c>
      <c r="H404" s="78">
        <v>72300</v>
      </c>
      <c r="J404" s="100">
        <f>IF($F404&lt;DATE(Assumptions!$B$7,1,1),1,IF(YEAR($F404)&gt;Assumptions!$B$7,13,MONTH($F404)))</f>
        <v>1</v>
      </c>
      <c r="K404" s="100">
        <f>IF(OR($G404="",$G404&gt;Assumptions!$B$6),Assumptions!$B$8,IF($G404&lt;DATE(Assumptions!$B$7,1,1),0,MONTH($G404)))</f>
        <v>8</v>
      </c>
      <c r="L404" s="113">
        <f t="shared" si="18"/>
        <v>8</v>
      </c>
      <c r="M404" s="82">
        <f t="shared" si="19"/>
        <v>48200</v>
      </c>
      <c r="N404" s="100">
        <f>IF(AND($F404&lt;=Assumptions!$B$6,OR($G404="",$G404&gt;Assumptions!$B$6)),1,0)</f>
        <v>1</v>
      </c>
      <c r="O404" s="82">
        <f t="shared" si="20"/>
        <v>72300</v>
      </c>
    </row>
    <row r="405" spans="1:15" x14ac:dyDescent="0.25">
      <c r="A405" s="76" t="s">
        <v>1436</v>
      </c>
      <c r="B405" s="76" t="s">
        <v>832</v>
      </c>
      <c r="C405" s="76" t="s">
        <v>359</v>
      </c>
      <c r="D405" s="76" t="s">
        <v>830</v>
      </c>
      <c r="E405" s="77">
        <v>1</v>
      </c>
      <c r="F405" s="103">
        <v>41791</v>
      </c>
      <c r="H405" s="78">
        <v>67700</v>
      </c>
      <c r="J405" s="100">
        <f>IF($F405&lt;DATE(Assumptions!$B$7,1,1),1,IF(YEAR($F405)&gt;Assumptions!$B$7,13,MONTH($F405)))</f>
        <v>1</v>
      </c>
      <c r="K405" s="100">
        <f>IF(OR($G405="",$G405&gt;Assumptions!$B$6),Assumptions!$B$8,IF($G405&lt;DATE(Assumptions!$B$7,1,1),0,MONTH($G405)))</f>
        <v>8</v>
      </c>
      <c r="L405" s="113">
        <f t="shared" si="18"/>
        <v>8</v>
      </c>
      <c r="M405" s="82">
        <f t="shared" si="19"/>
        <v>45133.333333333336</v>
      </c>
      <c r="N405" s="100">
        <f>IF(AND($F405&lt;=Assumptions!$B$6,OR($G405="",$G405&gt;Assumptions!$B$6)),1,0)</f>
        <v>1</v>
      </c>
      <c r="O405" s="82">
        <f t="shared" si="20"/>
        <v>67700</v>
      </c>
    </row>
    <row r="406" spans="1:15" x14ac:dyDescent="0.25">
      <c r="A406" s="76" t="s">
        <v>1437</v>
      </c>
      <c r="B406" s="76" t="s">
        <v>833</v>
      </c>
      <c r="C406" s="76" t="s">
        <v>359</v>
      </c>
      <c r="D406" s="76" t="s">
        <v>826</v>
      </c>
      <c r="E406" s="77">
        <v>2</v>
      </c>
      <c r="F406" s="103">
        <v>44805</v>
      </c>
      <c r="H406" s="78">
        <v>75700</v>
      </c>
      <c r="J406" s="100">
        <f>IF($F406&lt;DATE(Assumptions!$B$7,1,1),1,IF(YEAR($F406)&gt;Assumptions!$B$7,13,MONTH($F406)))</f>
        <v>1</v>
      </c>
      <c r="K406" s="100">
        <f>IF(OR($G406="",$G406&gt;Assumptions!$B$6),Assumptions!$B$8,IF($G406&lt;DATE(Assumptions!$B$7,1,1),0,MONTH($G406)))</f>
        <v>8</v>
      </c>
      <c r="L406" s="113">
        <f t="shared" si="18"/>
        <v>8</v>
      </c>
      <c r="M406" s="82">
        <f t="shared" si="19"/>
        <v>50466.666666666664</v>
      </c>
      <c r="N406" s="100">
        <f>IF(AND($F406&lt;=Assumptions!$B$6,OR($G406="",$G406&gt;Assumptions!$B$6)),1,0)</f>
        <v>1</v>
      </c>
      <c r="O406" s="82">
        <f t="shared" si="20"/>
        <v>75700</v>
      </c>
    </row>
    <row r="407" spans="1:15" x14ac:dyDescent="0.25">
      <c r="A407" s="76" t="s">
        <v>1438</v>
      </c>
      <c r="B407" s="76" t="s">
        <v>834</v>
      </c>
      <c r="C407" s="76" t="s">
        <v>359</v>
      </c>
      <c r="D407" s="76" t="s">
        <v>830</v>
      </c>
      <c r="E407" s="77">
        <v>1</v>
      </c>
      <c r="F407" s="103">
        <v>43770</v>
      </c>
      <c r="H407" s="78">
        <v>55500</v>
      </c>
      <c r="J407" s="100">
        <f>IF($F407&lt;DATE(Assumptions!$B$7,1,1),1,IF(YEAR($F407)&gt;Assumptions!$B$7,13,MONTH($F407)))</f>
        <v>1</v>
      </c>
      <c r="K407" s="100">
        <f>IF(OR($G407="",$G407&gt;Assumptions!$B$6),Assumptions!$B$8,IF($G407&lt;DATE(Assumptions!$B$7,1,1),0,MONTH($G407)))</f>
        <v>8</v>
      </c>
      <c r="L407" s="113">
        <f t="shared" si="18"/>
        <v>8</v>
      </c>
      <c r="M407" s="82">
        <f t="shared" si="19"/>
        <v>37000</v>
      </c>
      <c r="N407" s="100">
        <f>IF(AND($F407&lt;=Assumptions!$B$6,OR($G407="",$G407&gt;Assumptions!$B$6)),1,0)</f>
        <v>1</v>
      </c>
      <c r="O407" s="82">
        <f t="shared" si="20"/>
        <v>55500</v>
      </c>
    </row>
    <row r="408" spans="1:15" x14ac:dyDescent="0.25">
      <c r="A408" s="76" t="s">
        <v>1439</v>
      </c>
      <c r="B408" s="76" t="s">
        <v>835</v>
      </c>
      <c r="C408" s="76" t="s">
        <v>359</v>
      </c>
      <c r="D408" s="76" t="s">
        <v>826</v>
      </c>
      <c r="E408" s="77">
        <v>2</v>
      </c>
      <c r="F408" s="103">
        <v>45383</v>
      </c>
      <c r="H408" s="78">
        <v>77500</v>
      </c>
      <c r="J408" s="100">
        <f>IF($F408&lt;DATE(Assumptions!$B$7,1,1),1,IF(YEAR($F408)&gt;Assumptions!$B$7,13,MONTH($F408)))</f>
        <v>1</v>
      </c>
      <c r="K408" s="100">
        <f>IF(OR($G408="",$G408&gt;Assumptions!$B$6),Assumptions!$B$8,IF($G408&lt;DATE(Assumptions!$B$7,1,1),0,MONTH($G408)))</f>
        <v>8</v>
      </c>
      <c r="L408" s="113">
        <f t="shared" si="18"/>
        <v>8</v>
      </c>
      <c r="M408" s="82">
        <f t="shared" si="19"/>
        <v>51666.666666666664</v>
      </c>
      <c r="N408" s="100">
        <f>IF(AND($F408&lt;=Assumptions!$B$6,OR($G408="",$G408&gt;Assumptions!$B$6)),1,0)</f>
        <v>1</v>
      </c>
      <c r="O408" s="82">
        <f t="shared" si="20"/>
        <v>77500</v>
      </c>
    </row>
    <row r="409" spans="1:15" x14ac:dyDescent="0.25">
      <c r="A409" s="76" t="s">
        <v>1440</v>
      </c>
      <c r="B409" s="76" t="s">
        <v>836</v>
      </c>
      <c r="C409" s="76" t="s">
        <v>359</v>
      </c>
      <c r="D409" s="76" t="s">
        <v>830</v>
      </c>
      <c r="E409" s="77">
        <v>1</v>
      </c>
      <c r="F409" s="103">
        <v>43831</v>
      </c>
      <c r="H409" s="78">
        <v>62900</v>
      </c>
      <c r="J409" s="100">
        <f>IF($F409&lt;DATE(Assumptions!$B$7,1,1),1,IF(YEAR($F409)&gt;Assumptions!$B$7,13,MONTH($F409)))</f>
        <v>1</v>
      </c>
      <c r="K409" s="100">
        <f>IF(OR($G409="",$G409&gt;Assumptions!$B$6),Assumptions!$B$8,IF($G409&lt;DATE(Assumptions!$B$7,1,1),0,MONTH($G409)))</f>
        <v>8</v>
      </c>
      <c r="L409" s="113">
        <f t="shared" si="18"/>
        <v>8</v>
      </c>
      <c r="M409" s="82">
        <f t="shared" si="19"/>
        <v>41933.333333333336</v>
      </c>
      <c r="N409" s="100">
        <f>IF(AND($F409&lt;=Assumptions!$B$6,OR($G409="",$G409&gt;Assumptions!$B$6)),1,0)</f>
        <v>1</v>
      </c>
      <c r="O409" s="82">
        <f t="shared" si="20"/>
        <v>62900</v>
      </c>
    </row>
    <row r="410" spans="1:15" x14ac:dyDescent="0.25">
      <c r="A410" s="76" t="s">
        <v>1441</v>
      </c>
      <c r="B410" s="76" t="s">
        <v>837</v>
      </c>
      <c r="C410" s="76" t="s">
        <v>359</v>
      </c>
      <c r="D410" s="76" t="s">
        <v>830</v>
      </c>
      <c r="E410" s="77">
        <v>1</v>
      </c>
      <c r="F410" s="103">
        <v>42339</v>
      </c>
      <c r="H410" s="78">
        <v>63200</v>
      </c>
      <c r="J410" s="100">
        <f>IF($F410&lt;DATE(Assumptions!$B$7,1,1),1,IF(YEAR($F410)&gt;Assumptions!$B$7,13,MONTH($F410)))</f>
        <v>1</v>
      </c>
      <c r="K410" s="100">
        <f>IF(OR($G410="",$G410&gt;Assumptions!$B$6),Assumptions!$B$8,IF($G410&lt;DATE(Assumptions!$B$7,1,1),0,MONTH($G410)))</f>
        <v>8</v>
      </c>
      <c r="L410" s="113">
        <f t="shared" si="18"/>
        <v>8</v>
      </c>
      <c r="M410" s="82">
        <f t="shared" si="19"/>
        <v>42133.333333333336</v>
      </c>
      <c r="N410" s="100">
        <f>IF(AND($F410&lt;=Assumptions!$B$6,OR($G410="",$G410&gt;Assumptions!$B$6)),1,0)</f>
        <v>1</v>
      </c>
      <c r="O410" s="82">
        <f t="shared" si="20"/>
        <v>63200</v>
      </c>
    </row>
    <row r="411" spans="1:15" x14ac:dyDescent="0.25">
      <c r="A411" s="76" t="s">
        <v>1442</v>
      </c>
      <c r="B411" s="76" t="s">
        <v>838</v>
      </c>
      <c r="C411" s="76" t="s">
        <v>359</v>
      </c>
      <c r="D411" s="76" t="s">
        <v>826</v>
      </c>
      <c r="E411" s="77">
        <v>2</v>
      </c>
      <c r="F411" s="103">
        <v>42917</v>
      </c>
      <c r="H411" s="78">
        <v>75300</v>
      </c>
      <c r="J411" s="100">
        <f>IF($F411&lt;DATE(Assumptions!$B$7,1,1),1,IF(YEAR($F411)&gt;Assumptions!$B$7,13,MONTH($F411)))</f>
        <v>1</v>
      </c>
      <c r="K411" s="100">
        <f>IF(OR($G411="",$G411&gt;Assumptions!$B$6),Assumptions!$B$8,IF($G411&lt;DATE(Assumptions!$B$7,1,1),0,MONTH($G411)))</f>
        <v>8</v>
      </c>
      <c r="L411" s="113">
        <f t="shared" si="18"/>
        <v>8</v>
      </c>
      <c r="M411" s="82">
        <f t="shared" si="19"/>
        <v>50200</v>
      </c>
      <c r="N411" s="100">
        <f>IF(AND($F411&lt;=Assumptions!$B$6,OR($G411="",$G411&gt;Assumptions!$B$6)),1,0)</f>
        <v>1</v>
      </c>
      <c r="O411" s="82">
        <f t="shared" si="20"/>
        <v>75300</v>
      </c>
    </row>
    <row r="412" spans="1:15" x14ac:dyDescent="0.25">
      <c r="A412" s="76" t="s">
        <v>1443</v>
      </c>
      <c r="B412" s="76" t="s">
        <v>839</v>
      </c>
      <c r="C412" s="76" t="s">
        <v>359</v>
      </c>
      <c r="D412" s="76" t="s">
        <v>826</v>
      </c>
      <c r="E412" s="77">
        <v>2</v>
      </c>
      <c r="F412" s="103">
        <v>43252</v>
      </c>
      <c r="H412" s="78">
        <v>77500</v>
      </c>
      <c r="J412" s="100">
        <f>IF($F412&lt;DATE(Assumptions!$B$7,1,1),1,IF(YEAR($F412)&gt;Assumptions!$B$7,13,MONTH($F412)))</f>
        <v>1</v>
      </c>
      <c r="K412" s="100">
        <f>IF(OR($G412="",$G412&gt;Assumptions!$B$6),Assumptions!$B$8,IF($G412&lt;DATE(Assumptions!$B$7,1,1),0,MONTH($G412)))</f>
        <v>8</v>
      </c>
      <c r="L412" s="113">
        <f t="shared" si="18"/>
        <v>8</v>
      </c>
      <c r="M412" s="82">
        <f t="shared" si="19"/>
        <v>51666.666666666664</v>
      </c>
      <c r="N412" s="100">
        <f>IF(AND($F412&lt;=Assumptions!$B$6,OR($G412="",$G412&gt;Assumptions!$B$6)),1,0)</f>
        <v>1</v>
      </c>
      <c r="O412" s="82">
        <f t="shared" si="20"/>
        <v>77500</v>
      </c>
    </row>
    <row r="413" spans="1:15" x14ac:dyDescent="0.25">
      <c r="A413" s="76" t="s">
        <v>1444</v>
      </c>
      <c r="B413" s="76" t="s">
        <v>840</v>
      </c>
      <c r="C413" s="76" t="s">
        <v>359</v>
      </c>
      <c r="D413" s="76" t="s">
        <v>830</v>
      </c>
      <c r="E413" s="77">
        <v>1</v>
      </c>
      <c r="F413" s="103">
        <v>42005</v>
      </c>
      <c r="H413" s="78">
        <v>67000</v>
      </c>
      <c r="J413" s="100">
        <f>IF($F413&lt;DATE(Assumptions!$B$7,1,1),1,IF(YEAR($F413)&gt;Assumptions!$B$7,13,MONTH($F413)))</f>
        <v>1</v>
      </c>
      <c r="K413" s="100">
        <f>IF(OR($G413="",$G413&gt;Assumptions!$B$6),Assumptions!$B$8,IF($G413&lt;DATE(Assumptions!$B$7,1,1),0,MONTH($G413)))</f>
        <v>8</v>
      </c>
      <c r="L413" s="113">
        <f t="shared" si="18"/>
        <v>8</v>
      </c>
      <c r="M413" s="82">
        <f t="shared" si="19"/>
        <v>44666.666666666664</v>
      </c>
      <c r="N413" s="100">
        <f>IF(AND($F413&lt;=Assumptions!$B$6,OR($G413="",$G413&gt;Assumptions!$B$6)),1,0)</f>
        <v>1</v>
      </c>
      <c r="O413" s="82">
        <f t="shared" si="20"/>
        <v>67000</v>
      </c>
    </row>
    <row r="414" spans="1:15" x14ac:dyDescent="0.25">
      <c r="A414" s="76" t="s">
        <v>1445</v>
      </c>
      <c r="B414" s="76" t="s">
        <v>841</v>
      </c>
      <c r="C414" s="76" t="s">
        <v>359</v>
      </c>
      <c r="D414" s="76" t="s">
        <v>842</v>
      </c>
      <c r="E414" s="77">
        <v>4</v>
      </c>
      <c r="F414" s="103">
        <v>45200</v>
      </c>
      <c r="H414" s="78">
        <v>167400</v>
      </c>
      <c r="J414" s="100">
        <f>IF($F414&lt;DATE(Assumptions!$B$7,1,1),1,IF(YEAR($F414)&gt;Assumptions!$B$7,13,MONTH($F414)))</f>
        <v>1</v>
      </c>
      <c r="K414" s="100">
        <f>IF(OR($G414="",$G414&gt;Assumptions!$B$6),Assumptions!$B$8,IF($G414&lt;DATE(Assumptions!$B$7,1,1),0,MONTH($G414)))</f>
        <v>8</v>
      </c>
      <c r="L414" s="113">
        <f t="shared" si="18"/>
        <v>8</v>
      </c>
      <c r="M414" s="82">
        <f t="shared" si="19"/>
        <v>111600</v>
      </c>
      <c r="N414" s="100">
        <f>IF(AND($F414&lt;=Assumptions!$B$6,OR($G414="",$G414&gt;Assumptions!$B$6)),1,0)</f>
        <v>1</v>
      </c>
      <c r="O414" s="82">
        <f t="shared" si="20"/>
        <v>167400</v>
      </c>
    </row>
    <row r="415" spans="1:15" x14ac:dyDescent="0.25">
      <c r="A415" s="76" t="s">
        <v>1446</v>
      </c>
      <c r="B415" s="76" t="s">
        <v>843</v>
      </c>
      <c r="C415" s="76" t="s">
        <v>359</v>
      </c>
      <c r="D415" s="76" t="s">
        <v>828</v>
      </c>
      <c r="E415" s="77">
        <v>3</v>
      </c>
      <c r="F415" s="103">
        <v>42401</v>
      </c>
      <c r="H415" s="78">
        <v>104100</v>
      </c>
      <c r="J415" s="100">
        <f>IF($F415&lt;DATE(Assumptions!$B$7,1,1),1,IF(YEAR($F415)&gt;Assumptions!$B$7,13,MONTH($F415)))</f>
        <v>1</v>
      </c>
      <c r="K415" s="100">
        <f>IF(OR($G415="",$G415&gt;Assumptions!$B$6),Assumptions!$B$8,IF($G415&lt;DATE(Assumptions!$B$7,1,1),0,MONTH($G415)))</f>
        <v>8</v>
      </c>
      <c r="L415" s="113">
        <f t="shared" si="18"/>
        <v>8</v>
      </c>
      <c r="M415" s="82">
        <f t="shared" si="19"/>
        <v>69400</v>
      </c>
      <c r="N415" s="100">
        <f>IF(AND($F415&lt;=Assumptions!$B$6,OR($G415="",$G415&gt;Assumptions!$B$6)),1,0)</f>
        <v>1</v>
      </c>
      <c r="O415" s="82">
        <f t="shared" si="20"/>
        <v>104100</v>
      </c>
    </row>
    <row r="416" spans="1:15" x14ac:dyDescent="0.25">
      <c r="A416" s="76" t="s">
        <v>1447</v>
      </c>
      <c r="B416" s="76" t="s">
        <v>844</v>
      </c>
      <c r="C416" s="76" t="s">
        <v>359</v>
      </c>
      <c r="D416" s="76" t="s">
        <v>826</v>
      </c>
      <c r="E416" s="77">
        <v>2</v>
      </c>
      <c r="F416" s="103">
        <v>44896</v>
      </c>
      <c r="H416" s="78">
        <v>80800</v>
      </c>
      <c r="J416" s="100">
        <f>IF($F416&lt;DATE(Assumptions!$B$7,1,1),1,IF(YEAR($F416)&gt;Assumptions!$B$7,13,MONTH($F416)))</f>
        <v>1</v>
      </c>
      <c r="K416" s="100">
        <f>IF(OR($G416="",$G416&gt;Assumptions!$B$6),Assumptions!$B$8,IF($G416&lt;DATE(Assumptions!$B$7,1,1),0,MONTH($G416)))</f>
        <v>8</v>
      </c>
      <c r="L416" s="113">
        <f t="shared" si="18"/>
        <v>8</v>
      </c>
      <c r="M416" s="82">
        <f t="shared" si="19"/>
        <v>53866.666666666664</v>
      </c>
      <c r="N416" s="100">
        <f>IF(AND($F416&lt;=Assumptions!$B$6,OR($G416="",$G416&gt;Assumptions!$B$6)),1,0)</f>
        <v>1</v>
      </c>
      <c r="O416" s="82">
        <f t="shared" si="20"/>
        <v>80800</v>
      </c>
    </row>
    <row r="417" spans="1:15" x14ac:dyDescent="0.25">
      <c r="A417" s="76" t="s">
        <v>1448</v>
      </c>
      <c r="B417" s="76" t="s">
        <v>845</v>
      </c>
      <c r="C417" s="76" t="s">
        <v>359</v>
      </c>
      <c r="D417" s="76" t="s">
        <v>830</v>
      </c>
      <c r="E417" s="77">
        <v>1</v>
      </c>
      <c r="F417" s="103">
        <v>44136</v>
      </c>
      <c r="H417" s="78">
        <v>60500</v>
      </c>
      <c r="J417" s="100">
        <f>IF($F417&lt;DATE(Assumptions!$B$7,1,1),1,IF(YEAR($F417)&gt;Assumptions!$B$7,13,MONTH($F417)))</f>
        <v>1</v>
      </c>
      <c r="K417" s="100">
        <f>IF(OR($G417="",$G417&gt;Assumptions!$B$6),Assumptions!$B$8,IF($G417&lt;DATE(Assumptions!$B$7,1,1),0,MONTH($G417)))</f>
        <v>8</v>
      </c>
      <c r="L417" s="113">
        <f t="shared" si="18"/>
        <v>8</v>
      </c>
      <c r="M417" s="82">
        <f t="shared" si="19"/>
        <v>40333.333333333336</v>
      </c>
      <c r="N417" s="100">
        <f>IF(AND($F417&lt;=Assumptions!$B$6,OR($G417="",$G417&gt;Assumptions!$B$6)),1,0)</f>
        <v>1</v>
      </c>
      <c r="O417" s="82">
        <f t="shared" si="20"/>
        <v>60500</v>
      </c>
    </row>
    <row r="418" spans="1:15" x14ac:dyDescent="0.25">
      <c r="A418" s="76" t="s">
        <v>1449</v>
      </c>
      <c r="B418" s="76" t="s">
        <v>846</v>
      </c>
      <c r="C418" s="76" t="s">
        <v>359</v>
      </c>
      <c r="D418" s="76" t="s">
        <v>826</v>
      </c>
      <c r="E418" s="77">
        <v>2</v>
      </c>
      <c r="F418" s="103">
        <v>41671</v>
      </c>
      <c r="H418" s="78">
        <v>88100</v>
      </c>
      <c r="J418" s="100">
        <f>IF($F418&lt;DATE(Assumptions!$B$7,1,1),1,IF(YEAR($F418)&gt;Assumptions!$B$7,13,MONTH($F418)))</f>
        <v>1</v>
      </c>
      <c r="K418" s="100">
        <f>IF(OR($G418="",$G418&gt;Assumptions!$B$6),Assumptions!$B$8,IF($G418&lt;DATE(Assumptions!$B$7,1,1),0,MONTH($G418)))</f>
        <v>8</v>
      </c>
      <c r="L418" s="113">
        <f t="shared" si="18"/>
        <v>8</v>
      </c>
      <c r="M418" s="82">
        <f t="shared" si="19"/>
        <v>58733.333333333336</v>
      </c>
      <c r="N418" s="100">
        <f>IF(AND($F418&lt;=Assumptions!$B$6,OR($G418="",$G418&gt;Assumptions!$B$6)),1,0)</f>
        <v>1</v>
      </c>
      <c r="O418" s="82">
        <f t="shared" si="20"/>
        <v>88100</v>
      </c>
    </row>
    <row r="419" spans="1:15" x14ac:dyDescent="0.25">
      <c r="A419" s="76" t="s">
        <v>1450</v>
      </c>
      <c r="B419" s="76" t="s">
        <v>847</v>
      </c>
      <c r="C419" s="76" t="s">
        <v>359</v>
      </c>
      <c r="D419" s="76" t="s">
        <v>826</v>
      </c>
      <c r="E419" s="77">
        <v>2</v>
      </c>
      <c r="F419" s="103">
        <v>44013</v>
      </c>
      <c r="G419" s="103">
        <v>46234</v>
      </c>
      <c r="H419" s="78">
        <v>83000</v>
      </c>
      <c r="J419" s="100">
        <f>IF($F419&lt;DATE(Assumptions!$B$7,1,1),1,IF(YEAR($F419)&gt;Assumptions!$B$7,13,MONTH($F419)))</f>
        <v>1</v>
      </c>
      <c r="K419" s="100">
        <f>IF(OR($G419="",$G419&gt;Assumptions!$B$6),Assumptions!$B$8,IF($G419&lt;DATE(Assumptions!$B$7,1,1),0,MONTH($G419)))</f>
        <v>7</v>
      </c>
      <c r="L419" s="113">
        <f t="shared" si="18"/>
        <v>7</v>
      </c>
      <c r="M419" s="82">
        <f t="shared" si="19"/>
        <v>48416.666666666664</v>
      </c>
      <c r="N419" s="100">
        <f>IF(AND($F419&lt;=Assumptions!$B$6,OR($G419="",$G419&gt;Assumptions!$B$6)),1,0)</f>
        <v>0</v>
      </c>
      <c r="O419" s="82">
        <f t="shared" si="20"/>
        <v>0</v>
      </c>
    </row>
    <row r="420" spans="1:15" x14ac:dyDescent="0.25">
      <c r="A420" s="76" t="s">
        <v>1451</v>
      </c>
      <c r="B420" s="76" t="s">
        <v>849</v>
      </c>
      <c r="C420" s="76" t="s">
        <v>359</v>
      </c>
      <c r="D420" s="76" t="s">
        <v>826</v>
      </c>
      <c r="E420" s="77">
        <v>2</v>
      </c>
      <c r="F420" s="103">
        <v>43374</v>
      </c>
      <c r="H420" s="78">
        <v>88400</v>
      </c>
      <c r="J420" s="100">
        <f>IF($F420&lt;DATE(Assumptions!$B$7,1,1),1,IF(YEAR($F420)&gt;Assumptions!$B$7,13,MONTH($F420)))</f>
        <v>1</v>
      </c>
      <c r="K420" s="100">
        <f>IF(OR($G420="",$G420&gt;Assumptions!$B$6),Assumptions!$B$8,IF($G420&lt;DATE(Assumptions!$B$7,1,1),0,MONTH($G420)))</f>
        <v>8</v>
      </c>
      <c r="L420" s="113">
        <f t="shared" si="18"/>
        <v>8</v>
      </c>
      <c r="M420" s="82">
        <f t="shared" si="19"/>
        <v>58933.333333333336</v>
      </c>
      <c r="N420" s="100">
        <f>IF(AND($F420&lt;=Assumptions!$B$6,OR($G420="",$G420&gt;Assumptions!$B$6)),1,0)</f>
        <v>1</v>
      </c>
      <c r="O420" s="82">
        <f t="shared" si="20"/>
        <v>88400</v>
      </c>
    </row>
    <row r="421" spans="1:15" x14ac:dyDescent="0.25">
      <c r="A421" s="76" t="s">
        <v>1452</v>
      </c>
      <c r="B421" s="76" t="s">
        <v>850</v>
      </c>
      <c r="C421" s="76" t="s">
        <v>359</v>
      </c>
      <c r="D421" s="76" t="s">
        <v>828</v>
      </c>
      <c r="E421" s="77">
        <v>3</v>
      </c>
      <c r="F421" s="103">
        <v>44652</v>
      </c>
      <c r="H421" s="78">
        <v>111700</v>
      </c>
      <c r="J421" s="100">
        <f>IF($F421&lt;DATE(Assumptions!$B$7,1,1),1,IF(YEAR($F421)&gt;Assumptions!$B$7,13,MONTH($F421)))</f>
        <v>1</v>
      </c>
      <c r="K421" s="100">
        <f>IF(OR($G421="",$G421&gt;Assumptions!$B$6),Assumptions!$B$8,IF($G421&lt;DATE(Assumptions!$B$7,1,1),0,MONTH($G421)))</f>
        <v>8</v>
      </c>
      <c r="L421" s="113">
        <f t="shared" si="18"/>
        <v>8</v>
      </c>
      <c r="M421" s="82">
        <f t="shared" si="19"/>
        <v>74466.666666666672</v>
      </c>
      <c r="N421" s="100">
        <f>IF(AND($F421&lt;=Assumptions!$B$6,OR($G421="",$G421&gt;Assumptions!$B$6)),1,0)</f>
        <v>1</v>
      </c>
      <c r="O421" s="82">
        <f t="shared" si="20"/>
        <v>111700</v>
      </c>
    </row>
    <row r="422" spans="1:15" x14ac:dyDescent="0.25">
      <c r="A422" s="76" t="s">
        <v>1453</v>
      </c>
      <c r="B422" s="76" t="s">
        <v>851</v>
      </c>
      <c r="C422" s="76" t="s">
        <v>359</v>
      </c>
      <c r="D422" s="76" t="s">
        <v>830</v>
      </c>
      <c r="E422" s="77">
        <v>1</v>
      </c>
      <c r="F422" s="103">
        <v>42979</v>
      </c>
      <c r="H422" s="78">
        <v>53600</v>
      </c>
      <c r="J422" s="100">
        <f>IF($F422&lt;DATE(Assumptions!$B$7,1,1),1,IF(YEAR($F422)&gt;Assumptions!$B$7,13,MONTH($F422)))</f>
        <v>1</v>
      </c>
      <c r="K422" s="100">
        <f>IF(OR($G422="",$G422&gt;Assumptions!$B$6),Assumptions!$B$8,IF($G422&lt;DATE(Assumptions!$B$7,1,1),0,MONTH($G422)))</f>
        <v>8</v>
      </c>
      <c r="L422" s="113">
        <f t="shared" si="18"/>
        <v>8</v>
      </c>
      <c r="M422" s="82">
        <f t="shared" si="19"/>
        <v>35733.333333333336</v>
      </c>
      <c r="N422" s="100">
        <f>IF(AND($F422&lt;=Assumptions!$B$6,OR($G422="",$G422&gt;Assumptions!$B$6)),1,0)</f>
        <v>1</v>
      </c>
      <c r="O422" s="82">
        <f t="shared" si="20"/>
        <v>53600</v>
      </c>
    </row>
    <row r="423" spans="1:15" x14ac:dyDescent="0.25">
      <c r="A423" s="76" t="s">
        <v>1454</v>
      </c>
      <c r="B423" s="76" t="s">
        <v>852</v>
      </c>
      <c r="C423" s="76" t="s">
        <v>359</v>
      </c>
      <c r="D423" s="76" t="s">
        <v>830</v>
      </c>
      <c r="E423" s="77">
        <v>1</v>
      </c>
      <c r="F423" s="103">
        <v>42887</v>
      </c>
      <c r="H423" s="78">
        <v>60400</v>
      </c>
      <c r="J423" s="100">
        <f>IF($F423&lt;DATE(Assumptions!$B$7,1,1),1,IF(YEAR($F423)&gt;Assumptions!$B$7,13,MONTH($F423)))</f>
        <v>1</v>
      </c>
      <c r="K423" s="100">
        <f>IF(OR($G423="",$G423&gt;Assumptions!$B$6),Assumptions!$B$8,IF($G423&lt;DATE(Assumptions!$B$7,1,1),0,MONTH($G423)))</f>
        <v>8</v>
      </c>
      <c r="L423" s="113">
        <f t="shared" si="18"/>
        <v>8</v>
      </c>
      <c r="M423" s="82">
        <f t="shared" si="19"/>
        <v>40266.666666666664</v>
      </c>
      <c r="N423" s="100">
        <f>IF(AND($F423&lt;=Assumptions!$B$6,OR($G423="",$G423&gt;Assumptions!$B$6)),1,0)</f>
        <v>1</v>
      </c>
      <c r="O423" s="82">
        <f t="shared" si="20"/>
        <v>60400</v>
      </c>
    </row>
    <row r="424" spans="1:15" x14ac:dyDescent="0.25">
      <c r="A424" s="76" t="s">
        <v>1455</v>
      </c>
      <c r="B424" s="76" t="s">
        <v>853</v>
      </c>
      <c r="C424" s="76" t="s">
        <v>359</v>
      </c>
      <c r="D424" s="76" t="s">
        <v>826</v>
      </c>
      <c r="E424" s="77">
        <v>2</v>
      </c>
      <c r="F424" s="103">
        <v>42887</v>
      </c>
      <c r="H424" s="78">
        <v>74200</v>
      </c>
      <c r="J424" s="100">
        <f>IF($F424&lt;DATE(Assumptions!$B$7,1,1),1,IF(YEAR($F424)&gt;Assumptions!$B$7,13,MONTH($F424)))</f>
        <v>1</v>
      </c>
      <c r="K424" s="100">
        <f>IF(OR($G424="",$G424&gt;Assumptions!$B$6),Assumptions!$B$8,IF($G424&lt;DATE(Assumptions!$B$7,1,1),0,MONTH($G424)))</f>
        <v>8</v>
      </c>
      <c r="L424" s="113">
        <f t="shared" si="18"/>
        <v>8</v>
      </c>
      <c r="M424" s="82">
        <f t="shared" si="19"/>
        <v>49466.666666666664</v>
      </c>
      <c r="N424" s="100">
        <f>IF(AND($F424&lt;=Assumptions!$B$6,OR($G424="",$G424&gt;Assumptions!$B$6)),1,0)</f>
        <v>1</v>
      </c>
      <c r="O424" s="82">
        <f t="shared" si="20"/>
        <v>74200</v>
      </c>
    </row>
    <row r="425" spans="1:15" x14ac:dyDescent="0.25">
      <c r="A425" s="76" t="s">
        <v>1456</v>
      </c>
      <c r="B425" s="76" t="s">
        <v>854</v>
      </c>
      <c r="C425" s="76" t="s">
        <v>359</v>
      </c>
      <c r="D425" s="76" t="s">
        <v>826</v>
      </c>
      <c r="E425" s="77">
        <v>2</v>
      </c>
      <c r="F425" s="103">
        <v>45689</v>
      </c>
      <c r="H425" s="78">
        <v>87600</v>
      </c>
      <c r="J425" s="100">
        <f>IF($F425&lt;DATE(Assumptions!$B$7,1,1),1,IF(YEAR($F425)&gt;Assumptions!$B$7,13,MONTH($F425)))</f>
        <v>1</v>
      </c>
      <c r="K425" s="100">
        <f>IF(OR($G425="",$G425&gt;Assumptions!$B$6),Assumptions!$B$8,IF($G425&lt;DATE(Assumptions!$B$7,1,1),0,MONTH($G425)))</f>
        <v>8</v>
      </c>
      <c r="L425" s="113">
        <f t="shared" si="18"/>
        <v>8</v>
      </c>
      <c r="M425" s="82">
        <f t="shared" si="19"/>
        <v>58400</v>
      </c>
      <c r="N425" s="100">
        <f>IF(AND($F425&lt;=Assumptions!$B$6,OR($G425="",$G425&gt;Assumptions!$B$6)),1,0)</f>
        <v>1</v>
      </c>
      <c r="O425" s="82">
        <f t="shared" si="20"/>
        <v>87600</v>
      </c>
    </row>
    <row r="426" spans="1:15" x14ac:dyDescent="0.25">
      <c r="A426" s="76" t="s">
        <v>1457</v>
      </c>
      <c r="B426" s="76" t="s">
        <v>855</v>
      </c>
      <c r="C426" s="76" t="s">
        <v>359</v>
      </c>
      <c r="D426" s="76" t="s">
        <v>830</v>
      </c>
      <c r="E426" s="77">
        <v>1</v>
      </c>
      <c r="F426" s="103">
        <v>43101</v>
      </c>
      <c r="H426" s="78">
        <v>56300</v>
      </c>
      <c r="J426" s="100">
        <f>IF($F426&lt;DATE(Assumptions!$B$7,1,1),1,IF(YEAR($F426)&gt;Assumptions!$B$7,13,MONTH($F426)))</f>
        <v>1</v>
      </c>
      <c r="K426" s="100">
        <f>IF(OR($G426="",$G426&gt;Assumptions!$B$6),Assumptions!$B$8,IF($G426&lt;DATE(Assumptions!$B$7,1,1),0,MONTH($G426)))</f>
        <v>8</v>
      </c>
      <c r="L426" s="113">
        <f t="shared" si="18"/>
        <v>8</v>
      </c>
      <c r="M426" s="82">
        <f t="shared" si="19"/>
        <v>37533.333333333336</v>
      </c>
      <c r="N426" s="100">
        <f>IF(AND($F426&lt;=Assumptions!$B$6,OR($G426="",$G426&gt;Assumptions!$B$6)),1,0)</f>
        <v>1</v>
      </c>
      <c r="O426" s="82">
        <f t="shared" si="20"/>
        <v>56300</v>
      </c>
    </row>
    <row r="427" spans="1:15" x14ac:dyDescent="0.25">
      <c r="A427" s="76" t="s">
        <v>1458</v>
      </c>
      <c r="B427" s="76" t="s">
        <v>856</v>
      </c>
      <c r="C427" s="76" t="s">
        <v>359</v>
      </c>
      <c r="D427" s="76" t="s">
        <v>830</v>
      </c>
      <c r="E427" s="77">
        <v>1</v>
      </c>
      <c r="F427" s="103">
        <v>43160</v>
      </c>
      <c r="H427" s="78">
        <v>53700</v>
      </c>
      <c r="J427" s="100">
        <f>IF($F427&lt;DATE(Assumptions!$B$7,1,1),1,IF(YEAR($F427)&gt;Assumptions!$B$7,13,MONTH($F427)))</f>
        <v>1</v>
      </c>
      <c r="K427" s="100">
        <f>IF(OR($G427="",$G427&gt;Assumptions!$B$6),Assumptions!$B$8,IF($G427&lt;DATE(Assumptions!$B$7,1,1),0,MONTH($G427)))</f>
        <v>8</v>
      </c>
      <c r="L427" s="113">
        <f t="shared" si="18"/>
        <v>8</v>
      </c>
      <c r="M427" s="82">
        <f t="shared" si="19"/>
        <v>35800</v>
      </c>
      <c r="N427" s="100">
        <f>IF(AND($F427&lt;=Assumptions!$B$6,OR($G427="",$G427&gt;Assumptions!$B$6)),1,0)</f>
        <v>1</v>
      </c>
      <c r="O427" s="82">
        <f t="shared" si="20"/>
        <v>53700</v>
      </c>
    </row>
    <row r="428" spans="1:15" x14ac:dyDescent="0.25">
      <c r="A428" s="76" t="s">
        <v>1459</v>
      </c>
      <c r="B428" s="76" t="s">
        <v>857</v>
      </c>
      <c r="C428" s="76" t="s">
        <v>359</v>
      </c>
      <c r="D428" s="76" t="s">
        <v>830</v>
      </c>
      <c r="E428" s="77">
        <v>1</v>
      </c>
      <c r="F428" s="103">
        <v>45536</v>
      </c>
      <c r="H428" s="78">
        <v>55600</v>
      </c>
      <c r="J428" s="100">
        <f>IF($F428&lt;DATE(Assumptions!$B$7,1,1),1,IF(YEAR($F428)&gt;Assumptions!$B$7,13,MONTH($F428)))</f>
        <v>1</v>
      </c>
      <c r="K428" s="100">
        <f>IF(OR($G428="",$G428&gt;Assumptions!$B$6),Assumptions!$B$8,IF($G428&lt;DATE(Assumptions!$B$7,1,1),0,MONTH($G428)))</f>
        <v>8</v>
      </c>
      <c r="L428" s="113">
        <f t="shared" si="18"/>
        <v>8</v>
      </c>
      <c r="M428" s="82">
        <f t="shared" si="19"/>
        <v>37066.666666666664</v>
      </c>
      <c r="N428" s="100">
        <f>IF(AND($F428&lt;=Assumptions!$B$6,OR($G428="",$G428&gt;Assumptions!$B$6)),1,0)</f>
        <v>1</v>
      </c>
      <c r="O428" s="82">
        <f t="shared" si="20"/>
        <v>55600</v>
      </c>
    </row>
    <row r="429" spans="1:15" x14ac:dyDescent="0.25">
      <c r="A429" s="76" t="s">
        <v>1460</v>
      </c>
      <c r="B429" s="76" t="s">
        <v>858</v>
      </c>
      <c r="C429" s="76" t="s">
        <v>359</v>
      </c>
      <c r="D429" s="76" t="s">
        <v>826</v>
      </c>
      <c r="E429" s="77">
        <v>2</v>
      </c>
      <c r="F429" s="103">
        <v>44256</v>
      </c>
      <c r="H429" s="78">
        <v>75700</v>
      </c>
      <c r="J429" s="100">
        <f>IF($F429&lt;DATE(Assumptions!$B$7,1,1),1,IF(YEAR($F429)&gt;Assumptions!$B$7,13,MONTH($F429)))</f>
        <v>1</v>
      </c>
      <c r="K429" s="100">
        <f>IF(OR($G429="",$G429&gt;Assumptions!$B$6),Assumptions!$B$8,IF($G429&lt;DATE(Assumptions!$B$7,1,1),0,MONTH($G429)))</f>
        <v>8</v>
      </c>
      <c r="L429" s="113">
        <f t="shared" si="18"/>
        <v>8</v>
      </c>
      <c r="M429" s="82">
        <f t="shared" si="19"/>
        <v>50466.666666666664</v>
      </c>
      <c r="N429" s="100">
        <f>IF(AND($F429&lt;=Assumptions!$B$6,OR($G429="",$G429&gt;Assumptions!$B$6)),1,0)</f>
        <v>1</v>
      </c>
      <c r="O429" s="82">
        <f t="shared" si="20"/>
        <v>75700</v>
      </c>
    </row>
    <row r="430" spans="1:15" x14ac:dyDescent="0.25">
      <c r="A430" s="76" t="s">
        <v>1461</v>
      </c>
      <c r="B430" s="76" t="s">
        <v>859</v>
      </c>
      <c r="C430" s="76" t="s">
        <v>359</v>
      </c>
      <c r="D430" s="76" t="s">
        <v>828</v>
      </c>
      <c r="E430" s="77">
        <v>3</v>
      </c>
      <c r="F430" s="103">
        <v>42430</v>
      </c>
      <c r="H430" s="78">
        <v>123600</v>
      </c>
      <c r="J430" s="100">
        <f>IF($F430&lt;DATE(Assumptions!$B$7,1,1),1,IF(YEAR($F430)&gt;Assumptions!$B$7,13,MONTH($F430)))</f>
        <v>1</v>
      </c>
      <c r="K430" s="100">
        <f>IF(OR($G430="",$G430&gt;Assumptions!$B$6),Assumptions!$B$8,IF($G430&lt;DATE(Assumptions!$B$7,1,1),0,MONTH($G430)))</f>
        <v>8</v>
      </c>
      <c r="L430" s="113">
        <f t="shared" si="18"/>
        <v>8</v>
      </c>
      <c r="M430" s="82">
        <f t="shared" si="19"/>
        <v>82400</v>
      </c>
      <c r="N430" s="100">
        <f>IF(AND($F430&lt;=Assumptions!$B$6,OR($G430="",$G430&gt;Assumptions!$B$6)),1,0)</f>
        <v>1</v>
      </c>
      <c r="O430" s="82">
        <f t="shared" si="20"/>
        <v>123600</v>
      </c>
    </row>
    <row r="431" spans="1:15" x14ac:dyDescent="0.25">
      <c r="A431" s="76" t="s">
        <v>1462</v>
      </c>
      <c r="B431" s="76" t="s">
        <v>860</v>
      </c>
      <c r="C431" s="76" t="s">
        <v>359</v>
      </c>
      <c r="D431" s="76" t="s">
        <v>830</v>
      </c>
      <c r="E431" s="77">
        <v>1</v>
      </c>
      <c r="F431" s="103">
        <v>44774</v>
      </c>
      <c r="H431" s="78">
        <v>52800</v>
      </c>
      <c r="J431" s="100">
        <f>IF($F431&lt;DATE(Assumptions!$B$7,1,1),1,IF(YEAR($F431)&gt;Assumptions!$B$7,13,MONTH($F431)))</f>
        <v>1</v>
      </c>
      <c r="K431" s="100">
        <f>IF(OR($G431="",$G431&gt;Assumptions!$B$6),Assumptions!$B$8,IF($G431&lt;DATE(Assumptions!$B$7,1,1),0,MONTH($G431)))</f>
        <v>8</v>
      </c>
      <c r="L431" s="113">
        <f t="shared" si="18"/>
        <v>8</v>
      </c>
      <c r="M431" s="82">
        <f t="shared" si="19"/>
        <v>35200</v>
      </c>
      <c r="N431" s="100">
        <f>IF(AND($F431&lt;=Assumptions!$B$6,OR($G431="",$G431&gt;Assumptions!$B$6)),1,0)</f>
        <v>1</v>
      </c>
      <c r="O431" s="82">
        <f t="shared" si="20"/>
        <v>52800</v>
      </c>
    </row>
    <row r="432" spans="1:15" x14ac:dyDescent="0.25">
      <c r="A432" s="76" t="s">
        <v>1463</v>
      </c>
      <c r="B432" s="76" t="s">
        <v>861</v>
      </c>
      <c r="C432" s="76" t="s">
        <v>359</v>
      </c>
      <c r="D432" s="76" t="s">
        <v>826</v>
      </c>
      <c r="E432" s="77">
        <v>2</v>
      </c>
      <c r="F432" s="103">
        <v>43709</v>
      </c>
      <c r="H432" s="78">
        <v>92700</v>
      </c>
      <c r="J432" s="100">
        <f>IF($F432&lt;DATE(Assumptions!$B$7,1,1),1,IF(YEAR($F432)&gt;Assumptions!$B$7,13,MONTH($F432)))</f>
        <v>1</v>
      </c>
      <c r="K432" s="100">
        <f>IF(OR($G432="",$G432&gt;Assumptions!$B$6),Assumptions!$B$8,IF($G432&lt;DATE(Assumptions!$B$7,1,1),0,MONTH($G432)))</f>
        <v>8</v>
      </c>
      <c r="L432" s="113">
        <f t="shared" si="18"/>
        <v>8</v>
      </c>
      <c r="M432" s="82">
        <f t="shared" si="19"/>
        <v>61800</v>
      </c>
      <c r="N432" s="100">
        <f>IF(AND($F432&lt;=Assumptions!$B$6,OR($G432="",$G432&gt;Assumptions!$B$6)),1,0)</f>
        <v>1</v>
      </c>
      <c r="O432" s="82">
        <f t="shared" si="20"/>
        <v>92700</v>
      </c>
    </row>
    <row r="433" spans="1:15" x14ac:dyDescent="0.25">
      <c r="A433" s="76" t="s">
        <v>1464</v>
      </c>
      <c r="B433" s="76" t="s">
        <v>862</v>
      </c>
      <c r="C433" s="76" t="s">
        <v>359</v>
      </c>
      <c r="D433" s="76" t="s">
        <v>826</v>
      </c>
      <c r="E433" s="77">
        <v>2</v>
      </c>
      <c r="F433" s="103">
        <v>42583</v>
      </c>
      <c r="H433" s="78">
        <v>84700</v>
      </c>
      <c r="J433" s="100">
        <f>IF($F433&lt;DATE(Assumptions!$B$7,1,1),1,IF(YEAR($F433)&gt;Assumptions!$B$7,13,MONTH($F433)))</f>
        <v>1</v>
      </c>
      <c r="K433" s="100">
        <f>IF(OR($G433="",$G433&gt;Assumptions!$B$6),Assumptions!$B$8,IF($G433&lt;DATE(Assumptions!$B$7,1,1),0,MONTH($G433)))</f>
        <v>8</v>
      </c>
      <c r="L433" s="113">
        <f t="shared" si="18"/>
        <v>8</v>
      </c>
      <c r="M433" s="82">
        <f t="shared" si="19"/>
        <v>56466.666666666664</v>
      </c>
      <c r="N433" s="100">
        <f>IF(AND($F433&lt;=Assumptions!$B$6,OR($G433="",$G433&gt;Assumptions!$B$6)),1,0)</f>
        <v>1</v>
      </c>
      <c r="O433" s="82">
        <f t="shared" si="20"/>
        <v>84700</v>
      </c>
    </row>
    <row r="434" spans="1:15" x14ac:dyDescent="0.25">
      <c r="A434" s="76" t="s">
        <v>1465</v>
      </c>
      <c r="B434" s="76" t="s">
        <v>863</v>
      </c>
      <c r="C434" s="76" t="s">
        <v>359</v>
      </c>
      <c r="D434" s="76" t="s">
        <v>830</v>
      </c>
      <c r="E434" s="77">
        <v>1</v>
      </c>
      <c r="F434" s="103">
        <v>45536</v>
      </c>
      <c r="H434" s="78">
        <v>57400</v>
      </c>
      <c r="J434" s="100">
        <f>IF($F434&lt;DATE(Assumptions!$B$7,1,1),1,IF(YEAR($F434)&gt;Assumptions!$B$7,13,MONTH($F434)))</f>
        <v>1</v>
      </c>
      <c r="K434" s="100">
        <f>IF(OR($G434="",$G434&gt;Assumptions!$B$6),Assumptions!$B$8,IF($G434&lt;DATE(Assumptions!$B$7,1,1),0,MONTH($G434)))</f>
        <v>8</v>
      </c>
      <c r="L434" s="113">
        <f t="shared" si="18"/>
        <v>8</v>
      </c>
      <c r="M434" s="82">
        <f t="shared" si="19"/>
        <v>38266.666666666664</v>
      </c>
      <c r="N434" s="100">
        <f>IF(AND($F434&lt;=Assumptions!$B$6,OR($G434="",$G434&gt;Assumptions!$B$6)),1,0)</f>
        <v>1</v>
      </c>
      <c r="O434" s="82">
        <f t="shared" si="20"/>
        <v>57400</v>
      </c>
    </row>
    <row r="435" spans="1:15" x14ac:dyDescent="0.25">
      <c r="A435" s="76" t="s">
        <v>1466</v>
      </c>
      <c r="B435" s="76" t="s">
        <v>864</v>
      </c>
      <c r="C435" s="76" t="s">
        <v>359</v>
      </c>
      <c r="D435" s="76" t="s">
        <v>830</v>
      </c>
      <c r="E435" s="77">
        <v>1</v>
      </c>
      <c r="F435" s="103">
        <v>43040</v>
      </c>
      <c r="H435" s="78">
        <v>68300</v>
      </c>
      <c r="J435" s="100">
        <f>IF($F435&lt;DATE(Assumptions!$B$7,1,1),1,IF(YEAR($F435)&gt;Assumptions!$B$7,13,MONTH($F435)))</f>
        <v>1</v>
      </c>
      <c r="K435" s="100">
        <f>IF(OR($G435="",$G435&gt;Assumptions!$B$6),Assumptions!$B$8,IF($G435&lt;DATE(Assumptions!$B$7,1,1),0,MONTH($G435)))</f>
        <v>8</v>
      </c>
      <c r="L435" s="113">
        <f t="shared" si="18"/>
        <v>8</v>
      </c>
      <c r="M435" s="82">
        <f t="shared" si="19"/>
        <v>45533.333333333336</v>
      </c>
      <c r="N435" s="100">
        <f>IF(AND($F435&lt;=Assumptions!$B$6,OR($G435="",$G435&gt;Assumptions!$B$6)),1,0)</f>
        <v>1</v>
      </c>
      <c r="O435" s="82">
        <f t="shared" si="20"/>
        <v>68300</v>
      </c>
    </row>
    <row r="436" spans="1:15" x14ac:dyDescent="0.25">
      <c r="A436" s="76" t="s">
        <v>1467</v>
      </c>
      <c r="B436" s="76" t="s">
        <v>865</v>
      </c>
      <c r="C436" s="76" t="s">
        <v>359</v>
      </c>
      <c r="D436" s="76" t="s">
        <v>826</v>
      </c>
      <c r="E436" s="77">
        <v>2</v>
      </c>
      <c r="F436" s="103">
        <v>45901</v>
      </c>
      <c r="H436" s="78">
        <v>95500</v>
      </c>
      <c r="J436" s="100">
        <f>IF($F436&lt;DATE(Assumptions!$B$7,1,1),1,IF(YEAR($F436)&gt;Assumptions!$B$7,13,MONTH($F436)))</f>
        <v>1</v>
      </c>
      <c r="K436" s="100">
        <f>IF(OR($G436="",$G436&gt;Assumptions!$B$6),Assumptions!$B$8,IF($G436&lt;DATE(Assumptions!$B$7,1,1),0,MONTH($G436)))</f>
        <v>8</v>
      </c>
      <c r="L436" s="113">
        <f t="shared" si="18"/>
        <v>8</v>
      </c>
      <c r="M436" s="82">
        <f t="shared" si="19"/>
        <v>63666.666666666664</v>
      </c>
      <c r="N436" s="100">
        <f>IF(AND($F436&lt;=Assumptions!$B$6,OR($G436="",$G436&gt;Assumptions!$B$6)),1,0)</f>
        <v>1</v>
      </c>
      <c r="O436" s="82">
        <f t="shared" si="20"/>
        <v>95500</v>
      </c>
    </row>
    <row r="437" spans="1:15" x14ac:dyDescent="0.25">
      <c r="A437" s="76" t="s">
        <v>1468</v>
      </c>
      <c r="B437" s="76" t="s">
        <v>866</v>
      </c>
      <c r="C437" s="76" t="s">
        <v>359</v>
      </c>
      <c r="D437" s="76" t="s">
        <v>826</v>
      </c>
      <c r="E437" s="77">
        <v>2</v>
      </c>
      <c r="F437" s="103">
        <v>42675</v>
      </c>
      <c r="G437" s="103">
        <v>46142</v>
      </c>
      <c r="H437" s="78">
        <v>86200</v>
      </c>
      <c r="J437" s="100">
        <f>IF($F437&lt;DATE(Assumptions!$B$7,1,1),1,IF(YEAR($F437)&gt;Assumptions!$B$7,13,MONTH($F437)))</f>
        <v>1</v>
      </c>
      <c r="K437" s="100">
        <f>IF(OR($G437="",$G437&gt;Assumptions!$B$6),Assumptions!$B$8,IF($G437&lt;DATE(Assumptions!$B$7,1,1),0,MONTH($G437)))</f>
        <v>4</v>
      </c>
      <c r="L437" s="113">
        <f t="shared" si="18"/>
        <v>4</v>
      </c>
      <c r="M437" s="82">
        <f t="shared" si="19"/>
        <v>28733.333333333332</v>
      </c>
      <c r="N437" s="100">
        <f>IF(AND($F437&lt;=Assumptions!$B$6,OR($G437="",$G437&gt;Assumptions!$B$6)),1,0)</f>
        <v>0</v>
      </c>
      <c r="O437" s="82">
        <f t="shared" si="20"/>
        <v>0</v>
      </c>
    </row>
    <row r="438" spans="1:15" x14ac:dyDescent="0.25">
      <c r="A438" s="76" t="s">
        <v>1469</v>
      </c>
      <c r="B438" s="76" t="s">
        <v>866</v>
      </c>
      <c r="C438" s="76" t="s">
        <v>359</v>
      </c>
      <c r="D438" s="76" t="s">
        <v>826</v>
      </c>
      <c r="E438" s="77">
        <v>2</v>
      </c>
      <c r="F438" s="103">
        <v>46204</v>
      </c>
      <c r="H438" s="78">
        <v>94000</v>
      </c>
      <c r="J438" s="100">
        <f>IF($F438&lt;DATE(Assumptions!$B$7,1,1),1,IF(YEAR($F438)&gt;Assumptions!$B$7,13,MONTH($F438)))</f>
        <v>7</v>
      </c>
      <c r="K438" s="100">
        <f>IF(OR($G438="",$G438&gt;Assumptions!$B$6),Assumptions!$B$8,IF($G438&lt;DATE(Assumptions!$B$7,1,1),0,MONTH($G438)))</f>
        <v>8</v>
      </c>
      <c r="L438" s="113">
        <f t="shared" si="18"/>
        <v>2</v>
      </c>
      <c r="M438" s="82">
        <f t="shared" si="19"/>
        <v>15666.666666666666</v>
      </c>
      <c r="N438" s="100">
        <f>IF(AND($F438&lt;=Assumptions!$B$6,OR($G438="",$G438&gt;Assumptions!$B$6)),1,0)</f>
        <v>1</v>
      </c>
      <c r="O438" s="82">
        <f t="shared" si="20"/>
        <v>94000</v>
      </c>
    </row>
    <row r="439" spans="1:15" x14ac:dyDescent="0.25">
      <c r="A439" s="76" t="s">
        <v>1470</v>
      </c>
      <c r="B439" s="76" t="s">
        <v>867</v>
      </c>
      <c r="C439" s="76" t="s">
        <v>359</v>
      </c>
      <c r="D439" s="76" t="s">
        <v>830</v>
      </c>
      <c r="E439" s="77">
        <v>1</v>
      </c>
      <c r="F439" s="103">
        <v>43525</v>
      </c>
      <c r="H439" s="78">
        <v>53100</v>
      </c>
      <c r="J439" s="100">
        <f>IF($F439&lt;DATE(Assumptions!$B$7,1,1),1,IF(YEAR($F439)&gt;Assumptions!$B$7,13,MONTH($F439)))</f>
        <v>1</v>
      </c>
      <c r="K439" s="100">
        <f>IF(OR($G439="",$G439&gt;Assumptions!$B$6),Assumptions!$B$8,IF($G439&lt;DATE(Assumptions!$B$7,1,1),0,MONTH($G439)))</f>
        <v>8</v>
      </c>
      <c r="L439" s="113">
        <f t="shared" si="18"/>
        <v>8</v>
      </c>
      <c r="M439" s="82">
        <f t="shared" si="19"/>
        <v>35400</v>
      </c>
      <c r="N439" s="100">
        <f>IF(AND($F439&lt;=Assumptions!$B$6,OR($G439="",$G439&gt;Assumptions!$B$6)),1,0)</f>
        <v>1</v>
      </c>
      <c r="O439" s="82">
        <f t="shared" si="20"/>
        <v>53100</v>
      </c>
    </row>
    <row r="440" spans="1:15" x14ac:dyDescent="0.25">
      <c r="A440" s="76" t="s">
        <v>1471</v>
      </c>
      <c r="B440" s="76" t="s">
        <v>868</v>
      </c>
      <c r="C440" s="76" t="s">
        <v>359</v>
      </c>
      <c r="D440" s="76" t="s">
        <v>828</v>
      </c>
      <c r="E440" s="77">
        <v>3</v>
      </c>
      <c r="F440" s="103">
        <v>45931</v>
      </c>
      <c r="H440" s="78">
        <v>102600</v>
      </c>
      <c r="J440" s="100">
        <f>IF($F440&lt;DATE(Assumptions!$B$7,1,1),1,IF(YEAR($F440)&gt;Assumptions!$B$7,13,MONTH($F440)))</f>
        <v>1</v>
      </c>
      <c r="K440" s="100">
        <f>IF(OR($G440="",$G440&gt;Assumptions!$B$6),Assumptions!$B$8,IF($G440&lt;DATE(Assumptions!$B$7,1,1),0,MONTH($G440)))</f>
        <v>8</v>
      </c>
      <c r="L440" s="113">
        <f t="shared" si="18"/>
        <v>8</v>
      </c>
      <c r="M440" s="82">
        <f t="shared" si="19"/>
        <v>68400</v>
      </c>
      <c r="N440" s="100">
        <f>IF(AND($F440&lt;=Assumptions!$B$6,OR($G440="",$G440&gt;Assumptions!$B$6)),1,0)</f>
        <v>1</v>
      </c>
      <c r="O440" s="82">
        <f t="shared" si="20"/>
        <v>102600</v>
      </c>
    </row>
    <row r="441" spans="1:15" x14ac:dyDescent="0.25">
      <c r="A441" s="76" t="s">
        <v>1472</v>
      </c>
      <c r="B441" s="76" t="s">
        <v>869</v>
      </c>
      <c r="C441" s="76" t="s">
        <v>359</v>
      </c>
      <c r="D441" s="76" t="s">
        <v>828</v>
      </c>
      <c r="E441" s="77">
        <v>3</v>
      </c>
      <c r="F441" s="103">
        <v>42370</v>
      </c>
      <c r="H441" s="78">
        <v>105800</v>
      </c>
      <c r="J441" s="100">
        <f>IF($F441&lt;DATE(Assumptions!$B$7,1,1),1,IF(YEAR($F441)&gt;Assumptions!$B$7,13,MONTH($F441)))</f>
        <v>1</v>
      </c>
      <c r="K441" s="100">
        <f>IF(OR($G441="",$G441&gt;Assumptions!$B$6),Assumptions!$B$8,IF($G441&lt;DATE(Assumptions!$B$7,1,1),0,MONTH($G441)))</f>
        <v>8</v>
      </c>
      <c r="L441" s="113">
        <f t="shared" si="18"/>
        <v>8</v>
      </c>
      <c r="M441" s="82">
        <f t="shared" si="19"/>
        <v>70533.333333333328</v>
      </c>
      <c r="N441" s="100">
        <f>IF(AND($F441&lt;=Assumptions!$B$6,OR($G441="",$G441&gt;Assumptions!$B$6)),1,0)</f>
        <v>1</v>
      </c>
      <c r="O441" s="82">
        <f t="shared" si="20"/>
        <v>105800</v>
      </c>
    </row>
    <row r="442" spans="1:15" x14ac:dyDescent="0.25">
      <c r="A442" s="76" t="s">
        <v>1473</v>
      </c>
      <c r="B442" s="76" t="s">
        <v>870</v>
      </c>
      <c r="C442" s="76" t="s">
        <v>359</v>
      </c>
      <c r="D442" s="76" t="s">
        <v>830</v>
      </c>
      <c r="E442" s="77">
        <v>1</v>
      </c>
      <c r="F442" s="103">
        <v>42430</v>
      </c>
      <c r="H442" s="78">
        <v>53800</v>
      </c>
      <c r="J442" s="100">
        <f>IF($F442&lt;DATE(Assumptions!$B$7,1,1),1,IF(YEAR($F442)&gt;Assumptions!$B$7,13,MONTH($F442)))</f>
        <v>1</v>
      </c>
      <c r="K442" s="100">
        <f>IF(OR($G442="",$G442&gt;Assumptions!$B$6),Assumptions!$B$8,IF($G442&lt;DATE(Assumptions!$B$7,1,1),0,MONTH($G442)))</f>
        <v>8</v>
      </c>
      <c r="L442" s="113">
        <f t="shared" si="18"/>
        <v>8</v>
      </c>
      <c r="M442" s="82">
        <f t="shared" si="19"/>
        <v>35866.666666666664</v>
      </c>
      <c r="N442" s="100">
        <f>IF(AND($F442&lt;=Assumptions!$B$6,OR($G442="",$G442&gt;Assumptions!$B$6)),1,0)</f>
        <v>1</v>
      </c>
      <c r="O442" s="82">
        <f t="shared" si="20"/>
        <v>53800</v>
      </c>
    </row>
    <row r="443" spans="1:15" x14ac:dyDescent="0.25">
      <c r="A443" s="76" t="s">
        <v>1474</v>
      </c>
      <c r="B443" s="76" t="s">
        <v>871</v>
      </c>
      <c r="C443" s="76" t="s">
        <v>359</v>
      </c>
      <c r="D443" s="76" t="s">
        <v>826</v>
      </c>
      <c r="E443" s="77">
        <v>2</v>
      </c>
      <c r="F443" s="103">
        <v>42887</v>
      </c>
      <c r="H443" s="78">
        <v>72100</v>
      </c>
      <c r="J443" s="100">
        <f>IF($F443&lt;DATE(Assumptions!$B$7,1,1),1,IF(YEAR($F443)&gt;Assumptions!$B$7,13,MONTH($F443)))</f>
        <v>1</v>
      </c>
      <c r="K443" s="100">
        <f>IF(OR($G443="",$G443&gt;Assumptions!$B$6),Assumptions!$B$8,IF($G443&lt;DATE(Assumptions!$B$7,1,1),0,MONTH($G443)))</f>
        <v>8</v>
      </c>
      <c r="L443" s="113">
        <f t="shared" si="18"/>
        <v>8</v>
      </c>
      <c r="M443" s="82">
        <f t="shared" si="19"/>
        <v>48066.666666666664</v>
      </c>
      <c r="N443" s="100">
        <f>IF(AND($F443&lt;=Assumptions!$B$6,OR($G443="",$G443&gt;Assumptions!$B$6)),1,0)</f>
        <v>1</v>
      </c>
      <c r="O443" s="82">
        <f t="shared" si="20"/>
        <v>72100</v>
      </c>
    </row>
    <row r="444" spans="1:15" x14ac:dyDescent="0.25">
      <c r="A444" s="76" t="s">
        <v>1475</v>
      </c>
      <c r="B444" s="76" t="s">
        <v>872</v>
      </c>
      <c r="C444" s="76" t="s">
        <v>359</v>
      </c>
      <c r="D444" s="76" t="s">
        <v>826</v>
      </c>
      <c r="E444" s="77">
        <v>2</v>
      </c>
      <c r="F444" s="103">
        <v>45597</v>
      </c>
      <c r="H444" s="78">
        <v>74400</v>
      </c>
      <c r="J444" s="100">
        <f>IF($F444&lt;DATE(Assumptions!$B$7,1,1),1,IF(YEAR($F444)&gt;Assumptions!$B$7,13,MONTH($F444)))</f>
        <v>1</v>
      </c>
      <c r="K444" s="100">
        <f>IF(OR($G444="",$G444&gt;Assumptions!$B$6),Assumptions!$B$8,IF($G444&lt;DATE(Assumptions!$B$7,1,1),0,MONTH($G444)))</f>
        <v>8</v>
      </c>
      <c r="L444" s="113">
        <f t="shared" si="18"/>
        <v>8</v>
      </c>
      <c r="M444" s="82">
        <f t="shared" si="19"/>
        <v>49600</v>
      </c>
      <c r="N444" s="100">
        <f>IF(AND($F444&lt;=Assumptions!$B$6,OR($G444="",$G444&gt;Assumptions!$B$6)),1,0)</f>
        <v>1</v>
      </c>
      <c r="O444" s="82">
        <f t="shared" si="20"/>
        <v>74400</v>
      </c>
    </row>
    <row r="445" spans="1:15" x14ac:dyDescent="0.25">
      <c r="A445" s="76" t="s">
        <v>1476</v>
      </c>
      <c r="B445" s="76" t="s">
        <v>873</v>
      </c>
      <c r="C445" s="76" t="s">
        <v>359</v>
      </c>
      <c r="D445" s="76" t="s">
        <v>830</v>
      </c>
      <c r="E445" s="77">
        <v>1</v>
      </c>
      <c r="F445" s="103">
        <v>43922</v>
      </c>
      <c r="H445" s="78">
        <v>53600</v>
      </c>
      <c r="J445" s="100">
        <f>IF($F445&lt;DATE(Assumptions!$B$7,1,1),1,IF(YEAR($F445)&gt;Assumptions!$B$7,13,MONTH($F445)))</f>
        <v>1</v>
      </c>
      <c r="K445" s="100">
        <f>IF(OR($G445="",$G445&gt;Assumptions!$B$6),Assumptions!$B$8,IF($G445&lt;DATE(Assumptions!$B$7,1,1),0,MONTH($G445)))</f>
        <v>8</v>
      </c>
      <c r="L445" s="113">
        <f t="shared" si="18"/>
        <v>8</v>
      </c>
      <c r="M445" s="82">
        <f t="shared" si="19"/>
        <v>35733.333333333336</v>
      </c>
      <c r="N445" s="100">
        <f>IF(AND($F445&lt;=Assumptions!$B$6,OR($G445="",$G445&gt;Assumptions!$B$6)),1,0)</f>
        <v>1</v>
      </c>
      <c r="O445" s="82">
        <f t="shared" si="20"/>
        <v>53600</v>
      </c>
    </row>
    <row r="446" spans="1:15" x14ac:dyDescent="0.25">
      <c r="A446" s="76" t="s">
        <v>1477</v>
      </c>
      <c r="B446" s="76" t="s">
        <v>874</v>
      </c>
      <c r="C446" s="76" t="s">
        <v>359</v>
      </c>
      <c r="D446" s="76" t="s">
        <v>830</v>
      </c>
      <c r="E446" s="77">
        <v>1</v>
      </c>
      <c r="F446" s="103">
        <v>43497</v>
      </c>
      <c r="H446" s="78">
        <v>60200</v>
      </c>
      <c r="J446" s="100">
        <f>IF($F446&lt;DATE(Assumptions!$B$7,1,1),1,IF(YEAR($F446)&gt;Assumptions!$B$7,13,MONTH($F446)))</f>
        <v>1</v>
      </c>
      <c r="K446" s="100">
        <f>IF(OR($G446="",$G446&gt;Assumptions!$B$6),Assumptions!$B$8,IF($G446&lt;DATE(Assumptions!$B$7,1,1),0,MONTH($G446)))</f>
        <v>8</v>
      </c>
      <c r="L446" s="113">
        <f t="shared" si="18"/>
        <v>8</v>
      </c>
      <c r="M446" s="82">
        <f t="shared" si="19"/>
        <v>40133.333333333336</v>
      </c>
      <c r="N446" s="100">
        <f>IF(AND($F446&lt;=Assumptions!$B$6,OR($G446="",$G446&gt;Assumptions!$B$6)),1,0)</f>
        <v>1</v>
      </c>
      <c r="O446" s="82">
        <f t="shared" si="20"/>
        <v>60200</v>
      </c>
    </row>
    <row r="447" spans="1:15" x14ac:dyDescent="0.25">
      <c r="A447" s="76" t="s">
        <v>1478</v>
      </c>
      <c r="B447" s="76" t="s">
        <v>875</v>
      </c>
      <c r="C447" s="76" t="s">
        <v>359</v>
      </c>
      <c r="D447" s="76" t="s">
        <v>830</v>
      </c>
      <c r="E447" s="77">
        <v>1</v>
      </c>
      <c r="F447" s="103">
        <v>45566</v>
      </c>
      <c r="H447" s="78">
        <v>56000</v>
      </c>
      <c r="J447" s="100">
        <f>IF($F447&lt;DATE(Assumptions!$B$7,1,1),1,IF(YEAR($F447)&gt;Assumptions!$B$7,13,MONTH($F447)))</f>
        <v>1</v>
      </c>
      <c r="K447" s="100">
        <f>IF(OR($G447="",$G447&gt;Assumptions!$B$6),Assumptions!$B$8,IF($G447&lt;DATE(Assumptions!$B$7,1,1),0,MONTH($G447)))</f>
        <v>8</v>
      </c>
      <c r="L447" s="113">
        <f t="shared" si="18"/>
        <v>8</v>
      </c>
      <c r="M447" s="82">
        <f t="shared" si="19"/>
        <v>37333.333333333336</v>
      </c>
      <c r="N447" s="100">
        <f>IF(AND($F447&lt;=Assumptions!$B$6,OR($G447="",$G447&gt;Assumptions!$B$6)),1,0)</f>
        <v>1</v>
      </c>
      <c r="O447" s="82">
        <f t="shared" si="20"/>
        <v>56000</v>
      </c>
    </row>
    <row r="448" spans="1:15" x14ac:dyDescent="0.25">
      <c r="A448" s="76" t="s">
        <v>1479</v>
      </c>
      <c r="B448" s="76" t="s">
        <v>876</v>
      </c>
      <c r="C448" s="76" t="s">
        <v>359</v>
      </c>
      <c r="D448" s="76" t="s">
        <v>828</v>
      </c>
      <c r="E448" s="77">
        <v>3</v>
      </c>
      <c r="F448" s="103">
        <v>41852</v>
      </c>
      <c r="H448" s="78">
        <v>103700</v>
      </c>
      <c r="J448" s="100">
        <f>IF($F448&lt;DATE(Assumptions!$B$7,1,1),1,IF(YEAR($F448)&gt;Assumptions!$B$7,13,MONTH($F448)))</f>
        <v>1</v>
      </c>
      <c r="K448" s="100">
        <f>IF(OR($G448="",$G448&gt;Assumptions!$B$6),Assumptions!$B$8,IF($G448&lt;DATE(Assumptions!$B$7,1,1),0,MONTH($G448)))</f>
        <v>8</v>
      </c>
      <c r="L448" s="113">
        <f t="shared" si="18"/>
        <v>8</v>
      </c>
      <c r="M448" s="82">
        <f t="shared" si="19"/>
        <v>69133.333333333328</v>
      </c>
      <c r="N448" s="100">
        <f>IF(AND($F448&lt;=Assumptions!$B$6,OR($G448="",$G448&gt;Assumptions!$B$6)),1,0)</f>
        <v>1</v>
      </c>
      <c r="O448" s="82">
        <f t="shared" si="20"/>
        <v>103700</v>
      </c>
    </row>
    <row r="449" spans="1:15" x14ac:dyDescent="0.25">
      <c r="A449" s="76" t="s">
        <v>1480</v>
      </c>
      <c r="B449" s="76" t="s">
        <v>877</v>
      </c>
      <c r="C449" s="76" t="s">
        <v>359</v>
      </c>
      <c r="D449" s="76" t="s">
        <v>828</v>
      </c>
      <c r="E449" s="77">
        <v>3</v>
      </c>
      <c r="F449" s="103">
        <v>45352</v>
      </c>
      <c r="H449" s="78">
        <v>119600</v>
      </c>
      <c r="J449" s="100">
        <f>IF($F449&lt;DATE(Assumptions!$B$7,1,1),1,IF(YEAR($F449)&gt;Assumptions!$B$7,13,MONTH($F449)))</f>
        <v>1</v>
      </c>
      <c r="K449" s="100">
        <f>IF(OR($G449="",$G449&gt;Assumptions!$B$6),Assumptions!$B$8,IF($G449&lt;DATE(Assumptions!$B$7,1,1),0,MONTH($G449)))</f>
        <v>8</v>
      </c>
      <c r="L449" s="113">
        <f t="shared" si="18"/>
        <v>8</v>
      </c>
      <c r="M449" s="82">
        <f t="shared" si="19"/>
        <v>79733.333333333328</v>
      </c>
      <c r="N449" s="100">
        <f>IF(AND($F449&lt;=Assumptions!$B$6,OR($G449="",$G449&gt;Assumptions!$B$6)),1,0)</f>
        <v>1</v>
      </c>
      <c r="O449" s="82">
        <f t="shared" si="20"/>
        <v>119600</v>
      </c>
    </row>
    <row r="450" spans="1:15" x14ac:dyDescent="0.25">
      <c r="A450" s="76" t="s">
        <v>1481</v>
      </c>
      <c r="B450" s="76" t="s">
        <v>878</v>
      </c>
      <c r="C450" s="76" t="s">
        <v>359</v>
      </c>
      <c r="D450" s="76" t="s">
        <v>830</v>
      </c>
      <c r="E450" s="77">
        <v>1</v>
      </c>
      <c r="F450" s="103">
        <v>41640</v>
      </c>
      <c r="H450" s="78">
        <v>68800</v>
      </c>
      <c r="J450" s="100">
        <f>IF($F450&lt;DATE(Assumptions!$B$7,1,1),1,IF(YEAR($F450)&gt;Assumptions!$B$7,13,MONTH($F450)))</f>
        <v>1</v>
      </c>
      <c r="K450" s="100">
        <f>IF(OR($G450="",$G450&gt;Assumptions!$B$6),Assumptions!$B$8,IF($G450&lt;DATE(Assumptions!$B$7,1,1),0,MONTH($G450)))</f>
        <v>8</v>
      </c>
      <c r="L450" s="113">
        <f t="shared" si="18"/>
        <v>8</v>
      </c>
      <c r="M450" s="82">
        <f t="shared" si="19"/>
        <v>45866.666666666664</v>
      </c>
      <c r="N450" s="100">
        <f>IF(AND($F450&lt;=Assumptions!$B$6,OR($G450="",$G450&gt;Assumptions!$B$6)),1,0)</f>
        <v>1</v>
      </c>
      <c r="O450" s="82">
        <f t="shared" si="20"/>
        <v>68800</v>
      </c>
    </row>
    <row r="451" spans="1:15" x14ac:dyDescent="0.25">
      <c r="A451" s="76" t="s">
        <v>1482</v>
      </c>
      <c r="B451" s="76" t="s">
        <v>879</v>
      </c>
      <c r="C451" s="76" t="s">
        <v>359</v>
      </c>
      <c r="D451" s="76" t="s">
        <v>826</v>
      </c>
      <c r="E451" s="77">
        <v>2</v>
      </c>
      <c r="F451" s="103">
        <v>43101</v>
      </c>
      <c r="H451" s="78">
        <v>84300</v>
      </c>
      <c r="J451" s="100">
        <f>IF($F451&lt;DATE(Assumptions!$B$7,1,1),1,IF(YEAR($F451)&gt;Assumptions!$B$7,13,MONTH($F451)))</f>
        <v>1</v>
      </c>
      <c r="K451" s="100">
        <f>IF(OR($G451="",$G451&gt;Assumptions!$B$6),Assumptions!$B$8,IF($G451&lt;DATE(Assumptions!$B$7,1,1),0,MONTH($G451)))</f>
        <v>8</v>
      </c>
      <c r="L451" s="113">
        <f t="shared" si="18"/>
        <v>8</v>
      </c>
      <c r="M451" s="82">
        <f t="shared" si="19"/>
        <v>56200</v>
      </c>
      <c r="N451" s="100">
        <f>IF(AND($F451&lt;=Assumptions!$B$6,OR($G451="",$G451&gt;Assumptions!$B$6)),1,0)</f>
        <v>1</v>
      </c>
      <c r="O451" s="82">
        <f t="shared" si="20"/>
        <v>84300</v>
      </c>
    </row>
    <row r="452" spans="1:15" x14ac:dyDescent="0.25">
      <c r="A452" s="76" t="s">
        <v>1483</v>
      </c>
      <c r="B452" s="76" t="s">
        <v>880</v>
      </c>
      <c r="C452" s="76" t="s">
        <v>359</v>
      </c>
      <c r="D452" s="76" t="s">
        <v>830</v>
      </c>
      <c r="E452" s="77">
        <v>1</v>
      </c>
      <c r="F452" s="103">
        <v>44927</v>
      </c>
      <c r="H452" s="78">
        <v>65500</v>
      </c>
      <c r="J452" s="100">
        <f>IF($F452&lt;DATE(Assumptions!$B$7,1,1),1,IF(YEAR($F452)&gt;Assumptions!$B$7,13,MONTH($F452)))</f>
        <v>1</v>
      </c>
      <c r="K452" s="100">
        <f>IF(OR($G452="",$G452&gt;Assumptions!$B$6),Assumptions!$B$8,IF($G452&lt;DATE(Assumptions!$B$7,1,1),0,MONTH($G452)))</f>
        <v>8</v>
      </c>
      <c r="L452" s="113">
        <f t="shared" si="18"/>
        <v>8</v>
      </c>
      <c r="M452" s="82">
        <f t="shared" si="19"/>
        <v>43666.666666666664</v>
      </c>
      <c r="N452" s="100">
        <f>IF(AND($F452&lt;=Assumptions!$B$6,OR($G452="",$G452&gt;Assumptions!$B$6)),1,0)</f>
        <v>1</v>
      </c>
      <c r="O452" s="82">
        <f t="shared" si="20"/>
        <v>65500</v>
      </c>
    </row>
    <row r="453" spans="1:15" x14ac:dyDescent="0.25">
      <c r="A453" s="76" t="s">
        <v>1484</v>
      </c>
      <c r="B453" s="76" t="s">
        <v>881</v>
      </c>
      <c r="C453" s="76" t="s">
        <v>359</v>
      </c>
      <c r="D453" s="76" t="s">
        <v>826</v>
      </c>
      <c r="E453" s="77">
        <v>2</v>
      </c>
      <c r="F453" s="103">
        <v>43009</v>
      </c>
      <c r="G453" s="103">
        <v>46173</v>
      </c>
      <c r="H453" s="78">
        <v>81300</v>
      </c>
      <c r="J453" s="100">
        <f>IF($F453&lt;DATE(Assumptions!$B$7,1,1),1,IF(YEAR($F453)&gt;Assumptions!$B$7,13,MONTH($F453)))</f>
        <v>1</v>
      </c>
      <c r="K453" s="100">
        <f>IF(OR($G453="",$G453&gt;Assumptions!$B$6),Assumptions!$B$8,IF($G453&lt;DATE(Assumptions!$B$7,1,1),0,MONTH($G453)))</f>
        <v>5</v>
      </c>
      <c r="L453" s="113">
        <f t="shared" ref="L453:L516" si="21">MAX(0,K453-J453+1)</f>
        <v>5</v>
      </c>
      <c r="M453" s="82">
        <f t="shared" ref="M453:M516" si="22">$H453*L453/12</f>
        <v>33875</v>
      </c>
      <c r="N453" s="100">
        <f>IF(AND($F453&lt;=Assumptions!$B$6,OR($G453="",$G453&gt;Assumptions!$B$6)),1,0)</f>
        <v>0</v>
      </c>
      <c r="O453" s="82">
        <f t="shared" ref="O453:O516" si="23">$H453*N453</f>
        <v>0</v>
      </c>
    </row>
    <row r="454" spans="1:15" x14ac:dyDescent="0.25">
      <c r="A454" s="76" t="s">
        <v>1485</v>
      </c>
      <c r="B454" s="76" t="s">
        <v>882</v>
      </c>
      <c r="C454" s="76" t="s">
        <v>359</v>
      </c>
      <c r="D454" s="76" t="s">
        <v>830</v>
      </c>
      <c r="E454" s="77">
        <v>1</v>
      </c>
      <c r="F454" s="103">
        <v>43647</v>
      </c>
      <c r="H454" s="78">
        <v>68200</v>
      </c>
      <c r="J454" s="100">
        <f>IF($F454&lt;DATE(Assumptions!$B$7,1,1),1,IF(YEAR($F454)&gt;Assumptions!$B$7,13,MONTH($F454)))</f>
        <v>1</v>
      </c>
      <c r="K454" s="100">
        <f>IF(OR($G454="",$G454&gt;Assumptions!$B$6),Assumptions!$B$8,IF($G454&lt;DATE(Assumptions!$B$7,1,1),0,MONTH($G454)))</f>
        <v>8</v>
      </c>
      <c r="L454" s="113">
        <f t="shared" si="21"/>
        <v>8</v>
      </c>
      <c r="M454" s="82">
        <f t="shared" si="22"/>
        <v>45466.666666666664</v>
      </c>
      <c r="N454" s="100">
        <f>IF(AND($F454&lt;=Assumptions!$B$6,OR($G454="",$G454&gt;Assumptions!$B$6)),1,0)</f>
        <v>1</v>
      </c>
      <c r="O454" s="82">
        <f t="shared" si="23"/>
        <v>68200</v>
      </c>
    </row>
    <row r="455" spans="1:15" x14ac:dyDescent="0.25">
      <c r="A455" s="76" t="s">
        <v>1486</v>
      </c>
      <c r="B455" s="76" t="s">
        <v>883</v>
      </c>
      <c r="C455" s="76" t="s">
        <v>359</v>
      </c>
      <c r="D455" s="76" t="s">
        <v>830</v>
      </c>
      <c r="E455" s="77">
        <v>1</v>
      </c>
      <c r="F455" s="103">
        <v>42036</v>
      </c>
      <c r="H455" s="78">
        <v>61300</v>
      </c>
      <c r="J455" s="100">
        <f>IF($F455&lt;DATE(Assumptions!$B$7,1,1),1,IF(YEAR($F455)&gt;Assumptions!$B$7,13,MONTH($F455)))</f>
        <v>1</v>
      </c>
      <c r="K455" s="100">
        <f>IF(OR($G455="",$G455&gt;Assumptions!$B$6),Assumptions!$B$8,IF($G455&lt;DATE(Assumptions!$B$7,1,1),0,MONTH($G455)))</f>
        <v>8</v>
      </c>
      <c r="L455" s="113">
        <f t="shared" si="21"/>
        <v>8</v>
      </c>
      <c r="M455" s="82">
        <f t="shared" si="22"/>
        <v>40866.666666666664</v>
      </c>
      <c r="N455" s="100">
        <f>IF(AND($F455&lt;=Assumptions!$B$6,OR($G455="",$G455&gt;Assumptions!$B$6)),1,0)</f>
        <v>1</v>
      </c>
      <c r="O455" s="82">
        <f t="shared" si="23"/>
        <v>61300</v>
      </c>
    </row>
    <row r="456" spans="1:15" x14ac:dyDescent="0.25">
      <c r="A456" s="76" t="s">
        <v>1487</v>
      </c>
      <c r="B456" s="76" t="s">
        <v>884</v>
      </c>
      <c r="C456" s="76" t="s">
        <v>359</v>
      </c>
      <c r="D456" s="76" t="s">
        <v>826</v>
      </c>
      <c r="E456" s="77">
        <v>2</v>
      </c>
      <c r="F456" s="103">
        <v>42522</v>
      </c>
      <c r="H456" s="78">
        <v>88000</v>
      </c>
      <c r="J456" s="100">
        <f>IF($F456&lt;DATE(Assumptions!$B$7,1,1),1,IF(YEAR($F456)&gt;Assumptions!$B$7,13,MONTH($F456)))</f>
        <v>1</v>
      </c>
      <c r="K456" s="100">
        <f>IF(OR($G456="",$G456&gt;Assumptions!$B$6),Assumptions!$B$8,IF($G456&lt;DATE(Assumptions!$B$7,1,1),0,MONTH($G456)))</f>
        <v>8</v>
      </c>
      <c r="L456" s="113">
        <f t="shared" si="21"/>
        <v>8</v>
      </c>
      <c r="M456" s="82">
        <f t="shared" si="22"/>
        <v>58666.666666666664</v>
      </c>
      <c r="N456" s="100">
        <f>IF(AND($F456&lt;=Assumptions!$B$6,OR($G456="",$G456&gt;Assumptions!$B$6)),1,0)</f>
        <v>1</v>
      </c>
      <c r="O456" s="82">
        <f t="shared" si="23"/>
        <v>88000</v>
      </c>
    </row>
    <row r="457" spans="1:15" x14ac:dyDescent="0.25">
      <c r="A457" s="76" t="s">
        <v>1488</v>
      </c>
      <c r="B457" s="76" t="s">
        <v>885</v>
      </c>
      <c r="C457" s="76" t="s">
        <v>359</v>
      </c>
      <c r="D457" s="76" t="s">
        <v>828</v>
      </c>
      <c r="E457" s="77">
        <v>3</v>
      </c>
      <c r="F457" s="103">
        <v>43770</v>
      </c>
      <c r="G457" s="103">
        <v>46112</v>
      </c>
      <c r="H457" s="78">
        <v>125200</v>
      </c>
      <c r="J457" s="100">
        <f>IF($F457&lt;DATE(Assumptions!$B$7,1,1),1,IF(YEAR($F457)&gt;Assumptions!$B$7,13,MONTH($F457)))</f>
        <v>1</v>
      </c>
      <c r="K457" s="100">
        <f>IF(OR($G457="",$G457&gt;Assumptions!$B$6),Assumptions!$B$8,IF($G457&lt;DATE(Assumptions!$B$7,1,1),0,MONTH($G457)))</f>
        <v>3</v>
      </c>
      <c r="L457" s="113">
        <f t="shared" si="21"/>
        <v>3</v>
      </c>
      <c r="M457" s="82">
        <f t="shared" si="22"/>
        <v>31300</v>
      </c>
      <c r="N457" s="100">
        <f>IF(AND($F457&lt;=Assumptions!$B$6,OR($G457="",$G457&gt;Assumptions!$B$6)),1,0)</f>
        <v>0</v>
      </c>
      <c r="O457" s="82">
        <f t="shared" si="23"/>
        <v>0</v>
      </c>
    </row>
    <row r="458" spans="1:15" x14ac:dyDescent="0.25">
      <c r="A458" s="76" t="s">
        <v>1489</v>
      </c>
      <c r="B458" s="76" t="s">
        <v>885</v>
      </c>
      <c r="C458" s="76" t="s">
        <v>359</v>
      </c>
      <c r="D458" s="76" t="s">
        <v>828</v>
      </c>
      <c r="E458" s="77">
        <v>3</v>
      </c>
      <c r="F458" s="103">
        <v>46113</v>
      </c>
      <c r="H458" s="78">
        <v>131000</v>
      </c>
      <c r="J458" s="100">
        <f>IF($F458&lt;DATE(Assumptions!$B$7,1,1),1,IF(YEAR($F458)&gt;Assumptions!$B$7,13,MONTH($F458)))</f>
        <v>4</v>
      </c>
      <c r="K458" s="100">
        <f>IF(OR($G458="",$G458&gt;Assumptions!$B$6),Assumptions!$B$8,IF($G458&lt;DATE(Assumptions!$B$7,1,1),0,MONTH($G458)))</f>
        <v>8</v>
      </c>
      <c r="L458" s="113">
        <f t="shared" si="21"/>
        <v>5</v>
      </c>
      <c r="M458" s="82">
        <f t="shared" si="22"/>
        <v>54583.333333333336</v>
      </c>
      <c r="N458" s="100">
        <f>IF(AND($F458&lt;=Assumptions!$B$6,OR($G458="",$G458&gt;Assumptions!$B$6)),1,0)</f>
        <v>1</v>
      </c>
      <c r="O458" s="82">
        <f t="shared" si="23"/>
        <v>131000</v>
      </c>
    </row>
    <row r="459" spans="1:15" x14ac:dyDescent="0.25">
      <c r="A459" s="76" t="s">
        <v>1490</v>
      </c>
      <c r="B459" s="76" t="s">
        <v>886</v>
      </c>
      <c r="C459" s="76" t="s">
        <v>359</v>
      </c>
      <c r="D459" s="76" t="s">
        <v>826</v>
      </c>
      <c r="E459" s="77">
        <v>2</v>
      </c>
      <c r="F459" s="103">
        <v>45352</v>
      </c>
      <c r="H459" s="78">
        <v>82100</v>
      </c>
      <c r="J459" s="100">
        <f>IF($F459&lt;DATE(Assumptions!$B$7,1,1),1,IF(YEAR($F459)&gt;Assumptions!$B$7,13,MONTH($F459)))</f>
        <v>1</v>
      </c>
      <c r="K459" s="100">
        <f>IF(OR($G459="",$G459&gt;Assumptions!$B$6),Assumptions!$B$8,IF($G459&lt;DATE(Assumptions!$B$7,1,1),0,MONTH($G459)))</f>
        <v>8</v>
      </c>
      <c r="L459" s="113">
        <f t="shared" si="21"/>
        <v>8</v>
      </c>
      <c r="M459" s="82">
        <f t="shared" si="22"/>
        <v>54733.333333333336</v>
      </c>
      <c r="N459" s="100">
        <f>IF(AND($F459&lt;=Assumptions!$B$6,OR($G459="",$G459&gt;Assumptions!$B$6)),1,0)</f>
        <v>1</v>
      </c>
      <c r="O459" s="82">
        <f t="shared" si="23"/>
        <v>82100</v>
      </c>
    </row>
    <row r="460" spans="1:15" x14ac:dyDescent="0.25">
      <c r="A460" s="76" t="s">
        <v>1491</v>
      </c>
      <c r="B460" s="76" t="s">
        <v>887</v>
      </c>
      <c r="C460" s="76" t="s">
        <v>359</v>
      </c>
      <c r="D460" s="76" t="s">
        <v>826</v>
      </c>
      <c r="E460" s="77">
        <v>2</v>
      </c>
      <c r="F460" s="103">
        <v>45139</v>
      </c>
      <c r="H460" s="78">
        <v>73900</v>
      </c>
      <c r="J460" s="100">
        <f>IF($F460&lt;DATE(Assumptions!$B$7,1,1),1,IF(YEAR($F460)&gt;Assumptions!$B$7,13,MONTH($F460)))</f>
        <v>1</v>
      </c>
      <c r="K460" s="100">
        <f>IF(OR($G460="",$G460&gt;Assumptions!$B$6),Assumptions!$B$8,IF($G460&lt;DATE(Assumptions!$B$7,1,1),0,MONTH($G460)))</f>
        <v>8</v>
      </c>
      <c r="L460" s="113">
        <f t="shared" si="21"/>
        <v>8</v>
      </c>
      <c r="M460" s="82">
        <f t="shared" si="22"/>
        <v>49266.666666666664</v>
      </c>
      <c r="N460" s="100">
        <f>IF(AND($F460&lt;=Assumptions!$B$6,OR($G460="",$G460&gt;Assumptions!$B$6)),1,0)</f>
        <v>1</v>
      </c>
      <c r="O460" s="82">
        <f t="shared" si="23"/>
        <v>73900</v>
      </c>
    </row>
    <row r="461" spans="1:15" x14ac:dyDescent="0.25">
      <c r="A461" s="76" t="s">
        <v>1492</v>
      </c>
      <c r="B461" s="76" t="s">
        <v>888</v>
      </c>
      <c r="C461" s="76" t="s">
        <v>359</v>
      </c>
      <c r="D461" s="76" t="s">
        <v>826</v>
      </c>
      <c r="E461" s="77">
        <v>2</v>
      </c>
      <c r="F461" s="103">
        <v>44409</v>
      </c>
      <c r="H461" s="78">
        <v>89600</v>
      </c>
      <c r="J461" s="100">
        <f>IF($F461&lt;DATE(Assumptions!$B$7,1,1),1,IF(YEAR($F461)&gt;Assumptions!$B$7,13,MONTH($F461)))</f>
        <v>1</v>
      </c>
      <c r="K461" s="100">
        <f>IF(OR($G461="",$G461&gt;Assumptions!$B$6),Assumptions!$B$8,IF($G461&lt;DATE(Assumptions!$B$7,1,1),0,MONTH($G461)))</f>
        <v>8</v>
      </c>
      <c r="L461" s="113">
        <f t="shared" si="21"/>
        <v>8</v>
      </c>
      <c r="M461" s="82">
        <f t="shared" si="22"/>
        <v>59733.333333333336</v>
      </c>
      <c r="N461" s="100">
        <f>IF(AND($F461&lt;=Assumptions!$B$6,OR($G461="",$G461&gt;Assumptions!$B$6)),1,0)</f>
        <v>1</v>
      </c>
      <c r="O461" s="82">
        <f t="shared" si="23"/>
        <v>89600</v>
      </c>
    </row>
    <row r="462" spans="1:15" x14ac:dyDescent="0.25">
      <c r="A462" s="76" t="s">
        <v>1493</v>
      </c>
      <c r="B462" s="76" t="s">
        <v>889</v>
      </c>
      <c r="C462" s="76" t="s">
        <v>359</v>
      </c>
      <c r="D462" s="76" t="s">
        <v>826</v>
      </c>
      <c r="E462" s="77">
        <v>2</v>
      </c>
      <c r="F462" s="103">
        <v>44986</v>
      </c>
      <c r="H462" s="78">
        <v>79700</v>
      </c>
      <c r="J462" s="100">
        <f>IF($F462&lt;DATE(Assumptions!$B$7,1,1),1,IF(YEAR($F462)&gt;Assumptions!$B$7,13,MONTH($F462)))</f>
        <v>1</v>
      </c>
      <c r="K462" s="100">
        <f>IF(OR($G462="",$G462&gt;Assumptions!$B$6),Assumptions!$B$8,IF($G462&lt;DATE(Assumptions!$B$7,1,1),0,MONTH($G462)))</f>
        <v>8</v>
      </c>
      <c r="L462" s="113">
        <f t="shared" si="21"/>
        <v>8</v>
      </c>
      <c r="M462" s="82">
        <f t="shared" si="22"/>
        <v>53133.333333333336</v>
      </c>
      <c r="N462" s="100">
        <f>IF(AND($F462&lt;=Assumptions!$B$6,OR($G462="",$G462&gt;Assumptions!$B$6)),1,0)</f>
        <v>1</v>
      </c>
      <c r="O462" s="82">
        <f t="shared" si="23"/>
        <v>79700</v>
      </c>
    </row>
    <row r="463" spans="1:15" x14ac:dyDescent="0.25">
      <c r="A463" s="76" t="s">
        <v>1494</v>
      </c>
      <c r="B463" s="76" t="s">
        <v>890</v>
      </c>
      <c r="C463" s="76" t="s">
        <v>359</v>
      </c>
      <c r="D463" s="76" t="s">
        <v>828</v>
      </c>
      <c r="E463" s="77">
        <v>3</v>
      </c>
      <c r="F463" s="103">
        <v>43435</v>
      </c>
      <c r="H463" s="78">
        <v>134400</v>
      </c>
      <c r="J463" s="100">
        <f>IF($F463&lt;DATE(Assumptions!$B$7,1,1),1,IF(YEAR($F463)&gt;Assumptions!$B$7,13,MONTH($F463)))</f>
        <v>1</v>
      </c>
      <c r="K463" s="100">
        <f>IF(OR($G463="",$G463&gt;Assumptions!$B$6),Assumptions!$B$8,IF($G463&lt;DATE(Assumptions!$B$7,1,1),0,MONTH($G463)))</f>
        <v>8</v>
      </c>
      <c r="L463" s="113">
        <f t="shared" si="21"/>
        <v>8</v>
      </c>
      <c r="M463" s="82">
        <f t="shared" si="22"/>
        <v>89600</v>
      </c>
      <c r="N463" s="100">
        <f>IF(AND($F463&lt;=Assumptions!$B$6,OR($G463="",$G463&gt;Assumptions!$B$6)),1,0)</f>
        <v>1</v>
      </c>
      <c r="O463" s="82">
        <f t="shared" si="23"/>
        <v>134400</v>
      </c>
    </row>
    <row r="464" spans="1:15" x14ac:dyDescent="0.25">
      <c r="A464" s="76" t="s">
        <v>1495</v>
      </c>
      <c r="B464" s="76" t="s">
        <v>891</v>
      </c>
      <c r="C464" s="76" t="s">
        <v>359</v>
      </c>
      <c r="D464" s="76" t="s">
        <v>830</v>
      </c>
      <c r="E464" s="77">
        <v>1</v>
      </c>
      <c r="F464" s="103">
        <v>45505</v>
      </c>
      <c r="H464" s="78">
        <v>65800</v>
      </c>
      <c r="J464" s="100">
        <f>IF($F464&lt;DATE(Assumptions!$B$7,1,1),1,IF(YEAR($F464)&gt;Assumptions!$B$7,13,MONTH($F464)))</f>
        <v>1</v>
      </c>
      <c r="K464" s="100">
        <f>IF(OR($G464="",$G464&gt;Assumptions!$B$6),Assumptions!$B$8,IF($G464&lt;DATE(Assumptions!$B$7,1,1),0,MONTH($G464)))</f>
        <v>8</v>
      </c>
      <c r="L464" s="113">
        <f t="shared" si="21"/>
        <v>8</v>
      </c>
      <c r="M464" s="82">
        <f t="shared" si="22"/>
        <v>43866.666666666664</v>
      </c>
      <c r="N464" s="100">
        <f>IF(AND($F464&lt;=Assumptions!$B$6,OR($G464="",$G464&gt;Assumptions!$B$6)),1,0)</f>
        <v>1</v>
      </c>
      <c r="O464" s="82">
        <f t="shared" si="23"/>
        <v>65800</v>
      </c>
    </row>
    <row r="465" spans="1:15" x14ac:dyDescent="0.25">
      <c r="A465" s="76" t="s">
        <v>1496</v>
      </c>
      <c r="B465" s="76" t="s">
        <v>892</v>
      </c>
      <c r="C465" s="76" t="s">
        <v>359</v>
      </c>
      <c r="D465" s="76" t="s">
        <v>828</v>
      </c>
      <c r="E465" s="77">
        <v>3</v>
      </c>
      <c r="F465" s="103">
        <v>45536</v>
      </c>
      <c r="H465" s="78">
        <v>101400</v>
      </c>
      <c r="J465" s="100">
        <f>IF($F465&lt;DATE(Assumptions!$B$7,1,1),1,IF(YEAR($F465)&gt;Assumptions!$B$7,13,MONTH($F465)))</f>
        <v>1</v>
      </c>
      <c r="K465" s="100">
        <f>IF(OR($G465="",$G465&gt;Assumptions!$B$6),Assumptions!$B$8,IF($G465&lt;DATE(Assumptions!$B$7,1,1),0,MONTH($G465)))</f>
        <v>8</v>
      </c>
      <c r="L465" s="113">
        <f t="shared" si="21"/>
        <v>8</v>
      </c>
      <c r="M465" s="82">
        <f t="shared" si="22"/>
        <v>67600</v>
      </c>
      <c r="N465" s="100">
        <f>IF(AND($F465&lt;=Assumptions!$B$6,OR($G465="",$G465&gt;Assumptions!$B$6)),1,0)</f>
        <v>1</v>
      </c>
      <c r="O465" s="82">
        <f t="shared" si="23"/>
        <v>101400</v>
      </c>
    </row>
    <row r="466" spans="1:15" x14ac:dyDescent="0.25">
      <c r="A466" s="76" t="s">
        <v>1497</v>
      </c>
      <c r="B466" s="76" t="s">
        <v>893</v>
      </c>
      <c r="C466" s="76" t="s">
        <v>359</v>
      </c>
      <c r="D466" s="76" t="s">
        <v>826</v>
      </c>
      <c r="E466" s="77">
        <v>2</v>
      </c>
      <c r="F466" s="103">
        <v>43405</v>
      </c>
      <c r="G466" s="103">
        <v>46112</v>
      </c>
      <c r="H466" s="78">
        <v>78200</v>
      </c>
      <c r="J466" s="100">
        <f>IF($F466&lt;DATE(Assumptions!$B$7,1,1),1,IF(YEAR($F466)&gt;Assumptions!$B$7,13,MONTH($F466)))</f>
        <v>1</v>
      </c>
      <c r="K466" s="100">
        <f>IF(OR($G466="",$G466&gt;Assumptions!$B$6),Assumptions!$B$8,IF($G466&lt;DATE(Assumptions!$B$7,1,1),0,MONTH($G466)))</f>
        <v>3</v>
      </c>
      <c r="L466" s="113">
        <f t="shared" si="21"/>
        <v>3</v>
      </c>
      <c r="M466" s="82">
        <f t="shared" si="22"/>
        <v>19550</v>
      </c>
      <c r="N466" s="100">
        <f>IF(AND($F466&lt;=Assumptions!$B$6,OR($G466="",$G466&gt;Assumptions!$B$6)),1,0)</f>
        <v>0</v>
      </c>
      <c r="O466" s="82">
        <f t="shared" si="23"/>
        <v>0</v>
      </c>
    </row>
    <row r="467" spans="1:15" x14ac:dyDescent="0.25">
      <c r="A467" s="76" t="s">
        <v>1498</v>
      </c>
      <c r="B467" s="76" t="s">
        <v>893</v>
      </c>
      <c r="C467" s="76" t="s">
        <v>359</v>
      </c>
      <c r="D467" s="76" t="s">
        <v>826</v>
      </c>
      <c r="E467" s="77">
        <v>2</v>
      </c>
      <c r="F467" s="103">
        <v>46174</v>
      </c>
      <c r="H467" s="78">
        <v>85000</v>
      </c>
      <c r="J467" s="100">
        <f>IF($F467&lt;DATE(Assumptions!$B$7,1,1),1,IF(YEAR($F467)&gt;Assumptions!$B$7,13,MONTH($F467)))</f>
        <v>6</v>
      </c>
      <c r="K467" s="100">
        <f>IF(OR($G467="",$G467&gt;Assumptions!$B$6),Assumptions!$B$8,IF($G467&lt;DATE(Assumptions!$B$7,1,1),0,MONTH($G467)))</f>
        <v>8</v>
      </c>
      <c r="L467" s="113">
        <f t="shared" si="21"/>
        <v>3</v>
      </c>
      <c r="M467" s="82">
        <f t="shared" si="22"/>
        <v>21250</v>
      </c>
      <c r="N467" s="100">
        <f>IF(AND($F467&lt;=Assumptions!$B$6,OR($G467="",$G467&gt;Assumptions!$B$6)),1,0)</f>
        <v>1</v>
      </c>
      <c r="O467" s="82">
        <f t="shared" si="23"/>
        <v>85000</v>
      </c>
    </row>
    <row r="468" spans="1:15" x14ac:dyDescent="0.25">
      <c r="A468" s="76" t="s">
        <v>1499</v>
      </c>
      <c r="B468" s="76" t="s">
        <v>894</v>
      </c>
      <c r="C468" s="76" t="s">
        <v>359</v>
      </c>
      <c r="D468" s="76" t="s">
        <v>830</v>
      </c>
      <c r="E468" s="77">
        <v>1</v>
      </c>
      <c r="F468" s="103">
        <v>44531</v>
      </c>
      <c r="H468" s="78">
        <v>58000</v>
      </c>
      <c r="J468" s="100">
        <f>IF($F468&lt;DATE(Assumptions!$B$7,1,1),1,IF(YEAR($F468)&gt;Assumptions!$B$7,13,MONTH($F468)))</f>
        <v>1</v>
      </c>
      <c r="K468" s="100">
        <f>IF(OR($G468="",$G468&gt;Assumptions!$B$6),Assumptions!$B$8,IF($G468&lt;DATE(Assumptions!$B$7,1,1),0,MONTH($G468)))</f>
        <v>8</v>
      </c>
      <c r="L468" s="113">
        <f t="shared" si="21"/>
        <v>8</v>
      </c>
      <c r="M468" s="82">
        <f t="shared" si="22"/>
        <v>38666.666666666664</v>
      </c>
      <c r="N468" s="100">
        <f>IF(AND($F468&lt;=Assumptions!$B$6,OR($G468="",$G468&gt;Assumptions!$B$6)),1,0)</f>
        <v>1</v>
      </c>
      <c r="O468" s="82">
        <f t="shared" si="23"/>
        <v>58000</v>
      </c>
    </row>
    <row r="469" spans="1:15" x14ac:dyDescent="0.25">
      <c r="A469" s="76" t="s">
        <v>1500</v>
      </c>
      <c r="B469" s="76" t="s">
        <v>895</v>
      </c>
      <c r="C469" s="76" t="s">
        <v>359</v>
      </c>
      <c r="D469" s="76" t="s">
        <v>830</v>
      </c>
      <c r="E469" s="77">
        <v>1</v>
      </c>
      <c r="F469" s="103">
        <v>42370</v>
      </c>
      <c r="H469" s="78">
        <v>53700</v>
      </c>
      <c r="J469" s="100">
        <f>IF($F469&lt;DATE(Assumptions!$B$7,1,1),1,IF(YEAR($F469)&gt;Assumptions!$B$7,13,MONTH($F469)))</f>
        <v>1</v>
      </c>
      <c r="K469" s="100">
        <f>IF(OR($G469="",$G469&gt;Assumptions!$B$6),Assumptions!$B$8,IF($G469&lt;DATE(Assumptions!$B$7,1,1),0,MONTH($G469)))</f>
        <v>8</v>
      </c>
      <c r="L469" s="113">
        <f t="shared" si="21"/>
        <v>8</v>
      </c>
      <c r="M469" s="82">
        <f t="shared" si="22"/>
        <v>35800</v>
      </c>
      <c r="N469" s="100">
        <f>IF(AND($F469&lt;=Assumptions!$B$6,OR($G469="",$G469&gt;Assumptions!$B$6)),1,0)</f>
        <v>1</v>
      </c>
      <c r="O469" s="82">
        <f t="shared" si="23"/>
        <v>53700</v>
      </c>
    </row>
    <row r="470" spans="1:15" x14ac:dyDescent="0.25">
      <c r="A470" s="76" t="s">
        <v>1501</v>
      </c>
      <c r="B470" s="76" t="s">
        <v>896</v>
      </c>
      <c r="C470" s="76" t="s">
        <v>359</v>
      </c>
      <c r="D470" s="76" t="s">
        <v>830</v>
      </c>
      <c r="E470" s="77">
        <v>1</v>
      </c>
      <c r="F470" s="103">
        <v>42036</v>
      </c>
      <c r="H470" s="78">
        <v>56100</v>
      </c>
      <c r="J470" s="100">
        <f>IF($F470&lt;DATE(Assumptions!$B$7,1,1),1,IF(YEAR($F470)&gt;Assumptions!$B$7,13,MONTH($F470)))</f>
        <v>1</v>
      </c>
      <c r="K470" s="100">
        <f>IF(OR($G470="",$G470&gt;Assumptions!$B$6),Assumptions!$B$8,IF($G470&lt;DATE(Assumptions!$B$7,1,1),0,MONTH($G470)))</f>
        <v>8</v>
      </c>
      <c r="L470" s="113">
        <f t="shared" si="21"/>
        <v>8</v>
      </c>
      <c r="M470" s="82">
        <f t="shared" si="22"/>
        <v>37400</v>
      </c>
      <c r="N470" s="100">
        <f>IF(AND($F470&lt;=Assumptions!$B$6,OR($G470="",$G470&gt;Assumptions!$B$6)),1,0)</f>
        <v>1</v>
      </c>
      <c r="O470" s="82">
        <f t="shared" si="23"/>
        <v>56100</v>
      </c>
    </row>
    <row r="471" spans="1:15" x14ac:dyDescent="0.25">
      <c r="A471" s="76" t="s">
        <v>1502</v>
      </c>
      <c r="B471" s="76" t="s">
        <v>897</v>
      </c>
      <c r="C471" s="76" t="s">
        <v>359</v>
      </c>
      <c r="D471" s="76" t="s">
        <v>830</v>
      </c>
      <c r="E471" s="77">
        <v>1</v>
      </c>
      <c r="F471" s="103">
        <v>43983</v>
      </c>
      <c r="H471" s="78">
        <v>64400</v>
      </c>
      <c r="J471" s="100">
        <f>IF($F471&lt;DATE(Assumptions!$B$7,1,1),1,IF(YEAR($F471)&gt;Assumptions!$B$7,13,MONTH($F471)))</f>
        <v>1</v>
      </c>
      <c r="K471" s="100">
        <f>IF(OR($G471="",$G471&gt;Assumptions!$B$6),Assumptions!$B$8,IF($G471&lt;DATE(Assumptions!$B$7,1,1),0,MONTH($G471)))</f>
        <v>8</v>
      </c>
      <c r="L471" s="113">
        <f t="shared" si="21"/>
        <v>8</v>
      </c>
      <c r="M471" s="82">
        <f t="shared" si="22"/>
        <v>42933.333333333336</v>
      </c>
      <c r="N471" s="100">
        <f>IF(AND($F471&lt;=Assumptions!$B$6,OR($G471="",$G471&gt;Assumptions!$B$6)),1,0)</f>
        <v>1</v>
      </c>
      <c r="O471" s="82">
        <f t="shared" si="23"/>
        <v>64400</v>
      </c>
    </row>
    <row r="472" spans="1:15" x14ac:dyDescent="0.25">
      <c r="A472" s="76" t="s">
        <v>1503</v>
      </c>
      <c r="B472" s="76" t="s">
        <v>898</v>
      </c>
      <c r="C472" s="76" t="s">
        <v>359</v>
      </c>
      <c r="D472" s="76" t="s">
        <v>828</v>
      </c>
      <c r="E472" s="77">
        <v>3</v>
      </c>
      <c r="F472" s="103">
        <v>42217</v>
      </c>
      <c r="H472" s="78">
        <v>106700</v>
      </c>
      <c r="J472" s="100">
        <f>IF($F472&lt;DATE(Assumptions!$B$7,1,1),1,IF(YEAR($F472)&gt;Assumptions!$B$7,13,MONTH($F472)))</f>
        <v>1</v>
      </c>
      <c r="K472" s="100">
        <f>IF(OR($G472="",$G472&gt;Assumptions!$B$6),Assumptions!$B$8,IF($G472&lt;DATE(Assumptions!$B$7,1,1),0,MONTH($G472)))</f>
        <v>8</v>
      </c>
      <c r="L472" s="113">
        <f t="shared" si="21"/>
        <v>8</v>
      </c>
      <c r="M472" s="82">
        <f t="shared" si="22"/>
        <v>71133.333333333328</v>
      </c>
      <c r="N472" s="100">
        <f>IF(AND($F472&lt;=Assumptions!$B$6,OR($G472="",$G472&gt;Assumptions!$B$6)),1,0)</f>
        <v>1</v>
      </c>
      <c r="O472" s="82">
        <f t="shared" si="23"/>
        <v>106700</v>
      </c>
    </row>
    <row r="473" spans="1:15" x14ac:dyDescent="0.25">
      <c r="A473" s="76" t="s">
        <v>1504</v>
      </c>
      <c r="B473" s="76" t="s">
        <v>899</v>
      </c>
      <c r="C473" s="76" t="s">
        <v>359</v>
      </c>
      <c r="D473" s="76" t="s">
        <v>830</v>
      </c>
      <c r="E473" s="77">
        <v>1</v>
      </c>
      <c r="F473" s="103">
        <v>45200</v>
      </c>
      <c r="H473" s="78">
        <v>63600</v>
      </c>
      <c r="J473" s="100">
        <f>IF($F473&lt;DATE(Assumptions!$B$7,1,1),1,IF(YEAR($F473)&gt;Assumptions!$B$7,13,MONTH($F473)))</f>
        <v>1</v>
      </c>
      <c r="K473" s="100">
        <f>IF(OR($G473="",$G473&gt;Assumptions!$B$6),Assumptions!$B$8,IF($G473&lt;DATE(Assumptions!$B$7,1,1),0,MONTH($G473)))</f>
        <v>8</v>
      </c>
      <c r="L473" s="113">
        <f t="shared" si="21"/>
        <v>8</v>
      </c>
      <c r="M473" s="82">
        <f t="shared" si="22"/>
        <v>42400</v>
      </c>
      <c r="N473" s="100">
        <f>IF(AND($F473&lt;=Assumptions!$B$6,OR($G473="",$G473&gt;Assumptions!$B$6)),1,0)</f>
        <v>1</v>
      </c>
      <c r="O473" s="82">
        <f t="shared" si="23"/>
        <v>63600</v>
      </c>
    </row>
    <row r="474" spans="1:15" x14ac:dyDescent="0.25">
      <c r="A474" s="76" t="s">
        <v>1505</v>
      </c>
      <c r="B474" s="76" t="s">
        <v>901</v>
      </c>
      <c r="C474" s="76" t="s">
        <v>359</v>
      </c>
      <c r="D474" s="76" t="s">
        <v>826</v>
      </c>
      <c r="E474" s="77">
        <v>2</v>
      </c>
      <c r="F474" s="103">
        <v>46174</v>
      </c>
      <c r="H474" s="78">
        <v>84500</v>
      </c>
      <c r="J474" s="100">
        <f>IF($F474&lt;DATE(Assumptions!$B$7,1,1),1,IF(YEAR($F474)&gt;Assumptions!$B$7,13,MONTH($F474)))</f>
        <v>6</v>
      </c>
      <c r="K474" s="100">
        <f>IF(OR($G474="",$G474&gt;Assumptions!$B$6),Assumptions!$B$8,IF($G474&lt;DATE(Assumptions!$B$7,1,1),0,MONTH($G474)))</f>
        <v>8</v>
      </c>
      <c r="L474" s="113">
        <f t="shared" si="21"/>
        <v>3</v>
      </c>
      <c r="M474" s="82">
        <f t="shared" si="22"/>
        <v>21125</v>
      </c>
      <c r="N474" s="100">
        <f>IF(AND($F474&lt;=Assumptions!$B$6,OR($G474="",$G474&gt;Assumptions!$B$6)),1,0)</f>
        <v>1</v>
      </c>
      <c r="O474" s="82">
        <f t="shared" si="23"/>
        <v>84500</v>
      </c>
    </row>
    <row r="475" spans="1:15" x14ac:dyDescent="0.25">
      <c r="A475" s="76" t="s">
        <v>1506</v>
      </c>
      <c r="B475" s="76" t="s">
        <v>902</v>
      </c>
      <c r="C475" s="76" t="s">
        <v>359</v>
      </c>
      <c r="D475" s="76" t="s">
        <v>830</v>
      </c>
      <c r="E475" s="77">
        <v>1</v>
      </c>
      <c r="F475" s="103">
        <v>46054</v>
      </c>
      <c r="H475" s="78">
        <v>67000</v>
      </c>
      <c r="J475" s="100">
        <f>IF($F475&lt;DATE(Assumptions!$B$7,1,1),1,IF(YEAR($F475)&gt;Assumptions!$B$7,13,MONTH($F475)))</f>
        <v>2</v>
      </c>
      <c r="K475" s="100">
        <f>IF(OR($G475="",$G475&gt;Assumptions!$B$6),Assumptions!$B$8,IF($G475&lt;DATE(Assumptions!$B$7,1,1),0,MONTH($G475)))</f>
        <v>8</v>
      </c>
      <c r="L475" s="113">
        <f t="shared" si="21"/>
        <v>7</v>
      </c>
      <c r="M475" s="82">
        <f t="shared" si="22"/>
        <v>39083.333333333336</v>
      </c>
      <c r="N475" s="100">
        <f>IF(AND($F475&lt;=Assumptions!$B$6,OR($G475="",$G475&gt;Assumptions!$B$6)),1,0)</f>
        <v>1</v>
      </c>
      <c r="O475" s="82">
        <f t="shared" si="23"/>
        <v>67000</v>
      </c>
    </row>
    <row r="476" spans="1:15" x14ac:dyDescent="0.25">
      <c r="A476" s="76" t="s">
        <v>1507</v>
      </c>
      <c r="B476" s="76" t="s">
        <v>903</v>
      </c>
      <c r="C476" s="76" t="s">
        <v>359</v>
      </c>
      <c r="D476" s="76" t="s">
        <v>830</v>
      </c>
      <c r="E476" s="77">
        <v>1</v>
      </c>
      <c r="F476" s="103">
        <v>46174</v>
      </c>
      <c r="H476" s="78">
        <v>68500</v>
      </c>
      <c r="J476" s="100">
        <f>IF($F476&lt;DATE(Assumptions!$B$7,1,1),1,IF(YEAR($F476)&gt;Assumptions!$B$7,13,MONTH($F476)))</f>
        <v>6</v>
      </c>
      <c r="K476" s="100">
        <f>IF(OR($G476="",$G476&gt;Assumptions!$B$6),Assumptions!$B$8,IF($G476&lt;DATE(Assumptions!$B$7,1,1),0,MONTH($G476)))</f>
        <v>8</v>
      </c>
      <c r="L476" s="113">
        <f t="shared" si="21"/>
        <v>3</v>
      </c>
      <c r="M476" s="82">
        <f t="shared" si="22"/>
        <v>17125</v>
      </c>
      <c r="N476" s="100">
        <f>IF(AND($F476&lt;=Assumptions!$B$6,OR($G476="",$G476&gt;Assumptions!$B$6)),1,0)</f>
        <v>1</v>
      </c>
      <c r="O476" s="82">
        <f t="shared" si="23"/>
        <v>68500</v>
      </c>
    </row>
    <row r="477" spans="1:15" x14ac:dyDescent="0.25">
      <c r="A477" s="76" t="s">
        <v>1508</v>
      </c>
      <c r="B477" s="76" t="s">
        <v>904</v>
      </c>
      <c r="C477" s="76" t="s">
        <v>358</v>
      </c>
      <c r="D477" s="76" t="s">
        <v>905</v>
      </c>
      <c r="E477" s="77">
        <v>1</v>
      </c>
      <c r="F477" s="103">
        <v>43040</v>
      </c>
      <c r="H477" s="78">
        <v>54500</v>
      </c>
      <c r="J477" s="100">
        <f>IF($F477&lt;DATE(Assumptions!$B$7,1,1),1,IF(YEAR($F477)&gt;Assumptions!$B$7,13,MONTH($F477)))</f>
        <v>1</v>
      </c>
      <c r="K477" s="100">
        <f>IF(OR($G477="",$G477&gt;Assumptions!$B$6),Assumptions!$B$8,IF($G477&lt;DATE(Assumptions!$B$7,1,1),0,MONTH($G477)))</f>
        <v>8</v>
      </c>
      <c r="L477" s="113">
        <f t="shared" si="21"/>
        <v>8</v>
      </c>
      <c r="M477" s="82">
        <f t="shared" si="22"/>
        <v>36333.333333333336</v>
      </c>
      <c r="N477" s="100">
        <f>IF(AND($F477&lt;=Assumptions!$B$6,OR($G477="",$G477&gt;Assumptions!$B$6)),1,0)</f>
        <v>1</v>
      </c>
      <c r="O477" s="82">
        <f t="shared" si="23"/>
        <v>54500</v>
      </c>
    </row>
    <row r="478" spans="1:15" x14ac:dyDescent="0.25">
      <c r="A478" s="76" t="s">
        <v>1509</v>
      </c>
      <c r="B478" s="76" t="s">
        <v>906</v>
      </c>
      <c r="C478" s="76" t="s">
        <v>358</v>
      </c>
      <c r="D478" s="76" t="s">
        <v>907</v>
      </c>
      <c r="E478" s="77">
        <v>2</v>
      </c>
      <c r="F478" s="103">
        <v>41699</v>
      </c>
      <c r="H478" s="78">
        <v>90900</v>
      </c>
      <c r="J478" s="100">
        <f>IF($F478&lt;DATE(Assumptions!$B$7,1,1),1,IF(YEAR($F478)&gt;Assumptions!$B$7,13,MONTH($F478)))</f>
        <v>1</v>
      </c>
      <c r="K478" s="100">
        <f>IF(OR($G478="",$G478&gt;Assumptions!$B$6),Assumptions!$B$8,IF($G478&lt;DATE(Assumptions!$B$7,1,1),0,MONTH($G478)))</f>
        <v>8</v>
      </c>
      <c r="L478" s="113">
        <f t="shared" si="21"/>
        <v>8</v>
      </c>
      <c r="M478" s="82">
        <f t="shared" si="22"/>
        <v>60600</v>
      </c>
      <c r="N478" s="100">
        <f>IF(AND($F478&lt;=Assumptions!$B$6,OR($G478="",$G478&gt;Assumptions!$B$6)),1,0)</f>
        <v>1</v>
      </c>
      <c r="O478" s="82">
        <f t="shared" si="23"/>
        <v>90900</v>
      </c>
    </row>
    <row r="479" spans="1:15" x14ac:dyDescent="0.25">
      <c r="A479" s="76" t="s">
        <v>1510</v>
      </c>
      <c r="B479" s="76" t="s">
        <v>908</v>
      </c>
      <c r="C479" s="76" t="s">
        <v>358</v>
      </c>
      <c r="D479" s="76" t="s">
        <v>909</v>
      </c>
      <c r="E479" s="77">
        <v>3</v>
      </c>
      <c r="F479" s="103">
        <v>44197</v>
      </c>
      <c r="H479" s="78">
        <v>122700</v>
      </c>
      <c r="J479" s="100">
        <f>IF($F479&lt;DATE(Assumptions!$B$7,1,1),1,IF(YEAR($F479)&gt;Assumptions!$B$7,13,MONTH($F479)))</f>
        <v>1</v>
      </c>
      <c r="K479" s="100">
        <f>IF(OR($G479="",$G479&gt;Assumptions!$B$6),Assumptions!$B$8,IF($G479&lt;DATE(Assumptions!$B$7,1,1),0,MONTH($G479)))</f>
        <v>8</v>
      </c>
      <c r="L479" s="113">
        <f t="shared" si="21"/>
        <v>8</v>
      </c>
      <c r="M479" s="82">
        <f t="shared" si="22"/>
        <v>81800</v>
      </c>
      <c r="N479" s="100">
        <f>IF(AND($F479&lt;=Assumptions!$B$6,OR($G479="",$G479&gt;Assumptions!$B$6)),1,0)</f>
        <v>1</v>
      </c>
      <c r="O479" s="82">
        <f t="shared" si="23"/>
        <v>122700</v>
      </c>
    </row>
    <row r="480" spans="1:15" x14ac:dyDescent="0.25">
      <c r="A480" s="76" t="s">
        <v>1511</v>
      </c>
      <c r="B480" s="76" t="s">
        <v>910</v>
      </c>
      <c r="C480" s="76" t="s">
        <v>358</v>
      </c>
      <c r="D480" s="76" t="s">
        <v>907</v>
      </c>
      <c r="E480" s="77">
        <v>2</v>
      </c>
      <c r="F480" s="103">
        <v>41944</v>
      </c>
      <c r="H480" s="78">
        <v>79400</v>
      </c>
      <c r="J480" s="100">
        <f>IF($F480&lt;DATE(Assumptions!$B$7,1,1),1,IF(YEAR($F480)&gt;Assumptions!$B$7,13,MONTH($F480)))</f>
        <v>1</v>
      </c>
      <c r="K480" s="100">
        <f>IF(OR($G480="",$G480&gt;Assumptions!$B$6),Assumptions!$B$8,IF($G480&lt;DATE(Assumptions!$B$7,1,1),0,MONTH($G480)))</f>
        <v>8</v>
      </c>
      <c r="L480" s="113">
        <f t="shared" si="21"/>
        <v>8</v>
      </c>
      <c r="M480" s="82">
        <f t="shared" si="22"/>
        <v>52933.333333333336</v>
      </c>
      <c r="N480" s="100">
        <f>IF(AND($F480&lt;=Assumptions!$B$6,OR($G480="",$G480&gt;Assumptions!$B$6)),1,0)</f>
        <v>1</v>
      </c>
      <c r="O480" s="82">
        <f t="shared" si="23"/>
        <v>79400</v>
      </c>
    </row>
    <row r="481" spans="1:15" x14ac:dyDescent="0.25">
      <c r="A481" s="76" t="s">
        <v>1512</v>
      </c>
      <c r="B481" s="76" t="s">
        <v>911</v>
      </c>
      <c r="C481" s="76" t="s">
        <v>358</v>
      </c>
      <c r="D481" s="76" t="s">
        <v>905</v>
      </c>
      <c r="E481" s="77">
        <v>1</v>
      </c>
      <c r="F481" s="103">
        <v>44228</v>
      </c>
      <c r="H481" s="78">
        <v>58500</v>
      </c>
      <c r="J481" s="100">
        <f>IF($F481&lt;DATE(Assumptions!$B$7,1,1),1,IF(YEAR($F481)&gt;Assumptions!$B$7,13,MONTH($F481)))</f>
        <v>1</v>
      </c>
      <c r="K481" s="100">
        <f>IF(OR($G481="",$G481&gt;Assumptions!$B$6),Assumptions!$B$8,IF($G481&lt;DATE(Assumptions!$B$7,1,1),0,MONTH($G481)))</f>
        <v>8</v>
      </c>
      <c r="L481" s="113">
        <f t="shared" si="21"/>
        <v>8</v>
      </c>
      <c r="M481" s="82">
        <f t="shared" si="22"/>
        <v>39000</v>
      </c>
      <c r="N481" s="100">
        <f>IF(AND($F481&lt;=Assumptions!$B$6,OR($G481="",$G481&gt;Assumptions!$B$6)),1,0)</f>
        <v>1</v>
      </c>
      <c r="O481" s="82">
        <f t="shared" si="23"/>
        <v>58500</v>
      </c>
    </row>
    <row r="482" spans="1:15" x14ac:dyDescent="0.25">
      <c r="A482" s="76" t="s">
        <v>1513</v>
      </c>
      <c r="B482" s="76" t="s">
        <v>912</v>
      </c>
      <c r="C482" s="76" t="s">
        <v>358</v>
      </c>
      <c r="D482" s="76" t="s">
        <v>907</v>
      </c>
      <c r="E482" s="77">
        <v>2</v>
      </c>
      <c r="F482" s="103">
        <v>42430</v>
      </c>
      <c r="H482" s="78">
        <v>72500</v>
      </c>
      <c r="J482" s="100">
        <f>IF($F482&lt;DATE(Assumptions!$B$7,1,1),1,IF(YEAR($F482)&gt;Assumptions!$B$7,13,MONTH($F482)))</f>
        <v>1</v>
      </c>
      <c r="K482" s="100">
        <f>IF(OR($G482="",$G482&gt;Assumptions!$B$6),Assumptions!$B$8,IF($G482&lt;DATE(Assumptions!$B$7,1,1),0,MONTH($G482)))</f>
        <v>8</v>
      </c>
      <c r="L482" s="113">
        <f t="shared" si="21"/>
        <v>8</v>
      </c>
      <c r="M482" s="82">
        <f t="shared" si="22"/>
        <v>48333.333333333336</v>
      </c>
      <c r="N482" s="100">
        <f>IF(AND($F482&lt;=Assumptions!$B$6,OR($G482="",$G482&gt;Assumptions!$B$6)),1,0)</f>
        <v>1</v>
      </c>
      <c r="O482" s="82">
        <f t="shared" si="23"/>
        <v>72500</v>
      </c>
    </row>
    <row r="483" spans="1:15" x14ac:dyDescent="0.25">
      <c r="A483" s="76" t="s">
        <v>1514</v>
      </c>
      <c r="B483" s="76" t="s">
        <v>913</v>
      </c>
      <c r="C483" s="76" t="s">
        <v>358</v>
      </c>
      <c r="D483" s="76" t="s">
        <v>909</v>
      </c>
      <c r="E483" s="77">
        <v>3</v>
      </c>
      <c r="F483" s="103">
        <v>41852</v>
      </c>
      <c r="H483" s="78">
        <v>119900</v>
      </c>
      <c r="J483" s="100">
        <f>IF($F483&lt;DATE(Assumptions!$B$7,1,1),1,IF(YEAR($F483)&gt;Assumptions!$B$7,13,MONTH($F483)))</f>
        <v>1</v>
      </c>
      <c r="K483" s="100">
        <f>IF(OR($G483="",$G483&gt;Assumptions!$B$6),Assumptions!$B$8,IF($G483&lt;DATE(Assumptions!$B$7,1,1),0,MONTH($G483)))</f>
        <v>8</v>
      </c>
      <c r="L483" s="113">
        <f t="shared" si="21"/>
        <v>8</v>
      </c>
      <c r="M483" s="82">
        <f t="shared" si="22"/>
        <v>79933.333333333328</v>
      </c>
      <c r="N483" s="100">
        <f>IF(AND($F483&lt;=Assumptions!$B$6,OR($G483="",$G483&gt;Assumptions!$B$6)),1,0)</f>
        <v>1</v>
      </c>
      <c r="O483" s="82">
        <f t="shared" si="23"/>
        <v>119900</v>
      </c>
    </row>
    <row r="484" spans="1:15" x14ac:dyDescent="0.25">
      <c r="A484" s="76" t="s">
        <v>1515</v>
      </c>
      <c r="B484" s="76" t="s">
        <v>914</v>
      </c>
      <c r="C484" s="76" t="s">
        <v>358</v>
      </c>
      <c r="D484" s="76" t="s">
        <v>905</v>
      </c>
      <c r="E484" s="77">
        <v>1</v>
      </c>
      <c r="F484" s="103">
        <v>42948</v>
      </c>
      <c r="H484" s="78">
        <v>63600</v>
      </c>
      <c r="J484" s="100">
        <f>IF($F484&lt;DATE(Assumptions!$B$7,1,1),1,IF(YEAR($F484)&gt;Assumptions!$B$7,13,MONTH($F484)))</f>
        <v>1</v>
      </c>
      <c r="K484" s="100">
        <f>IF(OR($G484="",$G484&gt;Assumptions!$B$6),Assumptions!$B$8,IF($G484&lt;DATE(Assumptions!$B$7,1,1),0,MONTH($G484)))</f>
        <v>8</v>
      </c>
      <c r="L484" s="113">
        <f t="shared" si="21"/>
        <v>8</v>
      </c>
      <c r="M484" s="82">
        <f t="shared" si="22"/>
        <v>42400</v>
      </c>
      <c r="N484" s="100">
        <f>IF(AND($F484&lt;=Assumptions!$B$6,OR($G484="",$G484&gt;Assumptions!$B$6)),1,0)</f>
        <v>1</v>
      </c>
      <c r="O484" s="82">
        <f t="shared" si="23"/>
        <v>63600</v>
      </c>
    </row>
    <row r="485" spans="1:15" x14ac:dyDescent="0.25">
      <c r="A485" s="76" t="s">
        <v>1516</v>
      </c>
      <c r="B485" s="76" t="s">
        <v>915</v>
      </c>
      <c r="C485" s="76" t="s">
        <v>358</v>
      </c>
      <c r="D485" s="76" t="s">
        <v>909</v>
      </c>
      <c r="E485" s="77">
        <v>3</v>
      </c>
      <c r="F485" s="103">
        <v>45809</v>
      </c>
      <c r="H485" s="78">
        <v>112700</v>
      </c>
      <c r="J485" s="100">
        <f>IF($F485&lt;DATE(Assumptions!$B$7,1,1),1,IF(YEAR($F485)&gt;Assumptions!$B$7,13,MONTH($F485)))</f>
        <v>1</v>
      </c>
      <c r="K485" s="100">
        <f>IF(OR($G485="",$G485&gt;Assumptions!$B$6),Assumptions!$B$8,IF($G485&lt;DATE(Assumptions!$B$7,1,1),0,MONTH($G485)))</f>
        <v>8</v>
      </c>
      <c r="L485" s="113">
        <f t="shared" si="21"/>
        <v>8</v>
      </c>
      <c r="M485" s="82">
        <f t="shared" si="22"/>
        <v>75133.333333333328</v>
      </c>
      <c r="N485" s="100">
        <f>IF(AND($F485&lt;=Assumptions!$B$6,OR($G485="",$G485&gt;Assumptions!$B$6)),1,0)</f>
        <v>1</v>
      </c>
      <c r="O485" s="82">
        <f t="shared" si="23"/>
        <v>112700</v>
      </c>
    </row>
    <row r="486" spans="1:15" x14ac:dyDescent="0.25">
      <c r="A486" s="76" t="s">
        <v>1517</v>
      </c>
      <c r="B486" s="76" t="s">
        <v>916</v>
      </c>
      <c r="C486" s="76" t="s">
        <v>358</v>
      </c>
      <c r="D486" s="76" t="s">
        <v>905</v>
      </c>
      <c r="E486" s="77">
        <v>1</v>
      </c>
      <c r="F486" s="103">
        <v>45292</v>
      </c>
      <c r="H486" s="78">
        <v>64200</v>
      </c>
      <c r="J486" s="100">
        <f>IF($F486&lt;DATE(Assumptions!$B$7,1,1),1,IF(YEAR($F486)&gt;Assumptions!$B$7,13,MONTH($F486)))</f>
        <v>1</v>
      </c>
      <c r="K486" s="100">
        <f>IF(OR($G486="",$G486&gt;Assumptions!$B$6),Assumptions!$B$8,IF($G486&lt;DATE(Assumptions!$B$7,1,1),0,MONTH($G486)))</f>
        <v>8</v>
      </c>
      <c r="L486" s="113">
        <f t="shared" si="21"/>
        <v>8</v>
      </c>
      <c r="M486" s="82">
        <f t="shared" si="22"/>
        <v>42800</v>
      </c>
      <c r="N486" s="100">
        <f>IF(AND($F486&lt;=Assumptions!$B$6,OR($G486="",$G486&gt;Assumptions!$B$6)),1,0)</f>
        <v>1</v>
      </c>
      <c r="O486" s="82">
        <f t="shared" si="23"/>
        <v>64200</v>
      </c>
    </row>
    <row r="487" spans="1:15" x14ac:dyDescent="0.25">
      <c r="A487" s="76" t="s">
        <v>1518</v>
      </c>
      <c r="B487" s="76" t="s">
        <v>917</v>
      </c>
      <c r="C487" s="76" t="s">
        <v>358</v>
      </c>
      <c r="D487" s="76" t="s">
        <v>907</v>
      </c>
      <c r="E487" s="77">
        <v>2</v>
      </c>
      <c r="F487" s="103">
        <v>45992</v>
      </c>
      <c r="H487" s="78">
        <v>85000</v>
      </c>
      <c r="J487" s="100">
        <f>IF($F487&lt;DATE(Assumptions!$B$7,1,1),1,IF(YEAR($F487)&gt;Assumptions!$B$7,13,MONTH($F487)))</f>
        <v>1</v>
      </c>
      <c r="K487" s="100">
        <f>IF(OR($G487="",$G487&gt;Assumptions!$B$6),Assumptions!$B$8,IF($G487&lt;DATE(Assumptions!$B$7,1,1),0,MONTH($G487)))</f>
        <v>8</v>
      </c>
      <c r="L487" s="113">
        <f t="shared" si="21"/>
        <v>8</v>
      </c>
      <c r="M487" s="82">
        <f t="shared" si="22"/>
        <v>56666.666666666664</v>
      </c>
      <c r="N487" s="100">
        <f>IF(AND($F487&lt;=Assumptions!$B$6,OR($G487="",$G487&gt;Assumptions!$B$6)),1,0)</f>
        <v>1</v>
      </c>
      <c r="O487" s="82">
        <f t="shared" si="23"/>
        <v>85000</v>
      </c>
    </row>
    <row r="488" spans="1:15" x14ac:dyDescent="0.25">
      <c r="A488" s="76" t="s">
        <v>1519</v>
      </c>
      <c r="B488" s="76" t="s">
        <v>918</v>
      </c>
      <c r="C488" s="76" t="s">
        <v>358</v>
      </c>
      <c r="D488" s="76" t="s">
        <v>905</v>
      </c>
      <c r="E488" s="77">
        <v>1</v>
      </c>
      <c r="F488" s="103">
        <v>42248</v>
      </c>
      <c r="H488" s="78">
        <v>66700</v>
      </c>
      <c r="J488" s="100">
        <f>IF($F488&lt;DATE(Assumptions!$B$7,1,1),1,IF(YEAR($F488)&gt;Assumptions!$B$7,13,MONTH($F488)))</f>
        <v>1</v>
      </c>
      <c r="K488" s="100">
        <f>IF(OR($G488="",$G488&gt;Assumptions!$B$6),Assumptions!$B$8,IF($G488&lt;DATE(Assumptions!$B$7,1,1),0,MONTH($G488)))</f>
        <v>8</v>
      </c>
      <c r="L488" s="113">
        <f t="shared" si="21"/>
        <v>8</v>
      </c>
      <c r="M488" s="82">
        <f t="shared" si="22"/>
        <v>44466.666666666664</v>
      </c>
      <c r="N488" s="100">
        <f>IF(AND($F488&lt;=Assumptions!$B$6,OR($G488="",$G488&gt;Assumptions!$B$6)),1,0)</f>
        <v>1</v>
      </c>
      <c r="O488" s="82">
        <f t="shared" si="23"/>
        <v>66700</v>
      </c>
    </row>
    <row r="489" spans="1:15" x14ac:dyDescent="0.25">
      <c r="A489" s="76" t="s">
        <v>1520</v>
      </c>
      <c r="B489" s="76" t="s">
        <v>919</v>
      </c>
      <c r="C489" s="76" t="s">
        <v>358</v>
      </c>
      <c r="D489" s="76" t="s">
        <v>905</v>
      </c>
      <c r="E489" s="77">
        <v>1</v>
      </c>
      <c r="F489" s="103">
        <v>41791</v>
      </c>
      <c r="H489" s="78">
        <v>58300</v>
      </c>
      <c r="J489" s="100">
        <f>IF($F489&lt;DATE(Assumptions!$B$7,1,1),1,IF(YEAR($F489)&gt;Assumptions!$B$7,13,MONTH($F489)))</f>
        <v>1</v>
      </c>
      <c r="K489" s="100">
        <f>IF(OR($G489="",$G489&gt;Assumptions!$B$6),Assumptions!$B$8,IF($G489&lt;DATE(Assumptions!$B$7,1,1),0,MONTH($G489)))</f>
        <v>8</v>
      </c>
      <c r="L489" s="113">
        <f t="shared" si="21"/>
        <v>8</v>
      </c>
      <c r="M489" s="82">
        <f t="shared" si="22"/>
        <v>38866.666666666664</v>
      </c>
      <c r="N489" s="100">
        <f>IF(AND($F489&lt;=Assumptions!$B$6,OR($G489="",$G489&gt;Assumptions!$B$6)),1,0)</f>
        <v>1</v>
      </c>
      <c r="O489" s="82">
        <f t="shared" si="23"/>
        <v>58300</v>
      </c>
    </row>
    <row r="490" spans="1:15" x14ac:dyDescent="0.25">
      <c r="A490" s="76" t="s">
        <v>1521</v>
      </c>
      <c r="B490" s="76" t="s">
        <v>920</v>
      </c>
      <c r="C490" s="76" t="s">
        <v>358</v>
      </c>
      <c r="D490" s="76" t="s">
        <v>905</v>
      </c>
      <c r="E490" s="77">
        <v>1</v>
      </c>
      <c r="F490" s="103">
        <v>42156</v>
      </c>
      <c r="H490" s="78">
        <v>54800</v>
      </c>
      <c r="J490" s="100">
        <f>IF($F490&lt;DATE(Assumptions!$B$7,1,1),1,IF(YEAR($F490)&gt;Assumptions!$B$7,13,MONTH($F490)))</f>
        <v>1</v>
      </c>
      <c r="K490" s="100">
        <f>IF(OR($G490="",$G490&gt;Assumptions!$B$6),Assumptions!$B$8,IF($G490&lt;DATE(Assumptions!$B$7,1,1),0,MONTH($G490)))</f>
        <v>8</v>
      </c>
      <c r="L490" s="113">
        <f t="shared" si="21"/>
        <v>8</v>
      </c>
      <c r="M490" s="82">
        <f t="shared" si="22"/>
        <v>36533.333333333336</v>
      </c>
      <c r="N490" s="100">
        <f>IF(AND($F490&lt;=Assumptions!$B$6,OR($G490="",$G490&gt;Assumptions!$B$6)),1,0)</f>
        <v>1</v>
      </c>
      <c r="O490" s="82">
        <f t="shared" si="23"/>
        <v>54800</v>
      </c>
    </row>
    <row r="491" spans="1:15" x14ac:dyDescent="0.25">
      <c r="A491" s="76" t="s">
        <v>1522</v>
      </c>
      <c r="B491" s="76" t="s">
        <v>921</v>
      </c>
      <c r="C491" s="76" t="s">
        <v>358</v>
      </c>
      <c r="D491" s="76" t="s">
        <v>905</v>
      </c>
      <c r="E491" s="77">
        <v>1</v>
      </c>
      <c r="F491" s="103">
        <v>42186</v>
      </c>
      <c r="H491" s="78">
        <v>66500</v>
      </c>
      <c r="J491" s="100">
        <f>IF($F491&lt;DATE(Assumptions!$B$7,1,1),1,IF(YEAR($F491)&gt;Assumptions!$B$7,13,MONTH($F491)))</f>
        <v>1</v>
      </c>
      <c r="K491" s="100">
        <f>IF(OR($G491="",$G491&gt;Assumptions!$B$6),Assumptions!$B$8,IF($G491&lt;DATE(Assumptions!$B$7,1,1),0,MONTH($G491)))</f>
        <v>8</v>
      </c>
      <c r="L491" s="113">
        <f t="shared" si="21"/>
        <v>8</v>
      </c>
      <c r="M491" s="82">
        <f t="shared" si="22"/>
        <v>44333.333333333336</v>
      </c>
      <c r="N491" s="100">
        <f>IF(AND($F491&lt;=Assumptions!$B$6,OR($G491="",$G491&gt;Assumptions!$B$6)),1,0)</f>
        <v>1</v>
      </c>
      <c r="O491" s="82">
        <f t="shared" si="23"/>
        <v>66500</v>
      </c>
    </row>
    <row r="492" spans="1:15" x14ac:dyDescent="0.25">
      <c r="A492" s="76" t="s">
        <v>1523</v>
      </c>
      <c r="B492" s="76" t="s">
        <v>922</v>
      </c>
      <c r="C492" s="76" t="s">
        <v>358</v>
      </c>
      <c r="D492" s="76" t="s">
        <v>907</v>
      </c>
      <c r="E492" s="77">
        <v>2</v>
      </c>
      <c r="F492" s="103">
        <v>44470</v>
      </c>
      <c r="H492" s="78">
        <v>91500</v>
      </c>
      <c r="J492" s="100">
        <f>IF($F492&lt;DATE(Assumptions!$B$7,1,1),1,IF(YEAR($F492)&gt;Assumptions!$B$7,13,MONTH($F492)))</f>
        <v>1</v>
      </c>
      <c r="K492" s="100">
        <f>IF(OR($G492="",$G492&gt;Assumptions!$B$6),Assumptions!$B$8,IF($G492&lt;DATE(Assumptions!$B$7,1,1),0,MONTH($G492)))</f>
        <v>8</v>
      </c>
      <c r="L492" s="113">
        <f t="shared" si="21"/>
        <v>8</v>
      </c>
      <c r="M492" s="82">
        <f t="shared" si="22"/>
        <v>61000</v>
      </c>
      <c r="N492" s="100">
        <f>IF(AND($F492&lt;=Assumptions!$B$6,OR($G492="",$G492&gt;Assumptions!$B$6)),1,0)</f>
        <v>1</v>
      </c>
      <c r="O492" s="82">
        <f t="shared" si="23"/>
        <v>91500</v>
      </c>
    </row>
    <row r="493" spans="1:15" x14ac:dyDescent="0.25">
      <c r="A493" s="76" t="s">
        <v>1524</v>
      </c>
      <c r="B493" s="76" t="s">
        <v>923</v>
      </c>
      <c r="C493" s="76" t="s">
        <v>358</v>
      </c>
      <c r="D493" s="76" t="s">
        <v>905</v>
      </c>
      <c r="E493" s="77">
        <v>1</v>
      </c>
      <c r="F493" s="103">
        <v>43009</v>
      </c>
      <c r="H493" s="78">
        <v>55500</v>
      </c>
      <c r="J493" s="100">
        <f>IF($F493&lt;DATE(Assumptions!$B$7,1,1),1,IF(YEAR($F493)&gt;Assumptions!$B$7,13,MONTH($F493)))</f>
        <v>1</v>
      </c>
      <c r="K493" s="100">
        <f>IF(OR($G493="",$G493&gt;Assumptions!$B$6),Assumptions!$B$8,IF($G493&lt;DATE(Assumptions!$B$7,1,1),0,MONTH($G493)))</f>
        <v>8</v>
      </c>
      <c r="L493" s="113">
        <f t="shared" si="21"/>
        <v>8</v>
      </c>
      <c r="M493" s="82">
        <f t="shared" si="22"/>
        <v>37000</v>
      </c>
      <c r="N493" s="100">
        <f>IF(AND($F493&lt;=Assumptions!$B$6,OR($G493="",$G493&gt;Assumptions!$B$6)),1,0)</f>
        <v>1</v>
      </c>
      <c r="O493" s="82">
        <f t="shared" si="23"/>
        <v>55500</v>
      </c>
    </row>
    <row r="494" spans="1:15" x14ac:dyDescent="0.25">
      <c r="A494" s="76" t="s">
        <v>1525</v>
      </c>
      <c r="B494" s="76" t="s">
        <v>924</v>
      </c>
      <c r="C494" s="76" t="s">
        <v>358</v>
      </c>
      <c r="D494" s="76" t="s">
        <v>905</v>
      </c>
      <c r="E494" s="77">
        <v>1</v>
      </c>
      <c r="F494" s="103">
        <v>44743</v>
      </c>
      <c r="H494" s="78">
        <v>52600</v>
      </c>
      <c r="J494" s="100">
        <f>IF($F494&lt;DATE(Assumptions!$B$7,1,1),1,IF(YEAR($F494)&gt;Assumptions!$B$7,13,MONTH($F494)))</f>
        <v>1</v>
      </c>
      <c r="K494" s="100">
        <f>IF(OR($G494="",$G494&gt;Assumptions!$B$6),Assumptions!$B$8,IF($G494&lt;DATE(Assumptions!$B$7,1,1),0,MONTH($G494)))</f>
        <v>8</v>
      </c>
      <c r="L494" s="113">
        <f t="shared" si="21"/>
        <v>8</v>
      </c>
      <c r="M494" s="82">
        <f t="shared" si="22"/>
        <v>35066.666666666664</v>
      </c>
      <c r="N494" s="100">
        <f>IF(AND($F494&lt;=Assumptions!$B$6,OR($G494="",$G494&gt;Assumptions!$B$6)),1,0)</f>
        <v>1</v>
      </c>
      <c r="O494" s="82">
        <f t="shared" si="23"/>
        <v>52600</v>
      </c>
    </row>
    <row r="495" spans="1:15" x14ac:dyDescent="0.25">
      <c r="A495" s="76" t="s">
        <v>1526</v>
      </c>
      <c r="B495" s="76" t="s">
        <v>925</v>
      </c>
      <c r="C495" s="76" t="s">
        <v>358</v>
      </c>
      <c r="D495" s="76" t="s">
        <v>905</v>
      </c>
      <c r="E495" s="77">
        <v>1</v>
      </c>
      <c r="F495" s="103">
        <v>43221</v>
      </c>
      <c r="H495" s="78">
        <v>52800</v>
      </c>
      <c r="J495" s="100">
        <f>IF($F495&lt;DATE(Assumptions!$B$7,1,1),1,IF(YEAR($F495)&gt;Assumptions!$B$7,13,MONTH($F495)))</f>
        <v>1</v>
      </c>
      <c r="K495" s="100">
        <f>IF(OR($G495="",$G495&gt;Assumptions!$B$6),Assumptions!$B$8,IF($G495&lt;DATE(Assumptions!$B$7,1,1),0,MONTH($G495)))</f>
        <v>8</v>
      </c>
      <c r="L495" s="113">
        <f t="shared" si="21"/>
        <v>8</v>
      </c>
      <c r="M495" s="82">
        <f t="shared" si="22"/>
        <v>35200</v>
      </c>
      <c r="N495" s="100">
        <f>IF(AND($F495&lt;=Assumptions!$B$6,OR($G495="",$G495&gt;Assumptions!$B$6)),1,0)</f>
        <v>1</v>
      </c>
      <c r="O495" s="82">
        <f t="shared" si="23"/>
        <v>52800</v>
      </c>
    </row>
    <row r="496" spans="1:15" x14ac:dyDescent="0.25">
      <c r="A496" s="76" t="s">
        <v>1527</v>
      </c>
      <c r="B496" s="76" t="s">
        <v>926</v>
      </c>
      <c r="C496" s="76" t="s">
        <v>358</v>
      </c>
      <c r="D496" s="76" t="s">
        <v>905</v>
      </c>
      <c r="E496" s="77">
        <v>1</v>
      </c>
      <c r="F496" s="103">
        <v>44743</v>
      </c>
      <c r="H496" s="78">
        <v>59900</v>
      </c>
      <c r="J496" s="100">
        <f>IF($F496&lt;DATE(Assumptions!$B$7,1,1),1,IF(YEAR($F496)&gt;Assumptions!$B$7,13,MONTH($F496)))</f>
        <v>1</v>
      </c>
      <c r="K496" s="100">
        <f>IF(OR($G496="",$G496&gt;Assumptions!$B$6),Assumptions!$B$8,IF($G496&lt;DATE(Assumptions!$B$7,1,1),0,MONTH($G496)))</f>
        <v>8</v>
      </c>
      <c r="L496" s="113">
        <f t="shared" si="21"/>
        <v>8</v>
      </c>
      <c r="M496" s="82">
        <f t="shared" si="22"/>
        <v>39933.333333333336</v>
      </c>
      <c r="N496" s="100">
        <f>IF(AND($F496&lt;=Assumptions!$B$6,OR($G496="",$G496&gt;Assumptions!$B$6)),1,0)</f>
        <v>1</v>
      </c>
      <c r="O496" s="82">
        <f t="shared" si="23"/>
        <v>59900</v>
      </c>
    </row>
    <row r="497" spans="1:15" x14ac:dyDescent="0.25">
      <c r="A497" s="76" t="s">
        <v>1528</v>
      </c>
      <c r="B497" s="76" t="s">
        <v>927</v>
      </c>
      <c r="C497" s="76" t="s">
        <v>358</v>
      </c>
      <c r="D497" s="76" t="s">
        <v>905</v>
      </c>
      <c r="E497" s="77">
        <v>1</v>
      </c>
      <c r="F497" s="103">
        <v>43770</v>
      </c>
      <c r="G497" s="103">
        <v>46081</v>
      </c>
      <c r="H497" s="78">
        <v>55700</v>
      </c>
      <c r="J497" s="100">
        <f>IF($F497&lt;DATE(Assumptions!$B$7,1,1),1,IF(YEAR($F497)&gt;Assumptions!$B$7,13,MONTH($F497)))</f>
        <v>1</v>
      </c>
      <c r="K497" s="100">
        <f>IF(OR($G497="",$G497&gt;Assumptions!$B$6),Assumptions!$B$8,IF($G497&lt;DATE(Assumptions!$B$7,1,1),0,MONTH($G497)))</f>
        <v>2</v>
      </c>
      <c r="L497" s="113">
        <f t="shared" si="21"/>
        <v>2</v>
      </c>
      <c r="M497" s="82">
        <f t="shared" si="22"/>
        <v>9283.3333333333339</v>
      </c>
      <c r="N497" s="100">
        <f>IF(AND($F497&lt;=Assumptions!$B$6,OR($G497="",$G497&gt;Assumptions!$B$6)),1,0)</f>
        <v>0</v>
      </c>
      <c r="O497" s="82">
        <f t="shared" si="23"/>
        <v>0</v>
      </c>
    </row>
    <row r="498" spans="1:15" x14ac:dyDescent="0.25">
      <c r="A498" s="76" t="s">
        <v>1529</v>
      </c>
      <c r="B498" s="76" t="s">
        <v>927</v>
      </c>
      <c r="C498" s="76" t="s">
        <v>358</v>
      </c>
      <c r="D498" s="76" t="s">
        <v>905</v>
      </c>
      <c r="E498" s="77">
        <v>1</v>
      </c>
      <c r="F498" s="103">
        <v>46082</v>
      </c>
      <c r="H498" s="78">
        <v>62000</v>
      </c>
      <c r="J498" s="100">
        <f>IF($F498&lt;DATE(Assumptions!$B$7,1,1),1,IF(YEAR($F498)&gt;Assumptions!$B$7,13,MONTH($F498)))</f>
        <v>3</v>
      </c>
      <c r="K498" s="100">
        <f>IF(OR($G498="",$G498&gt;Assumptions!$B$6),Assumptions!$B$8,IF($G498&lt;DATE(Assumptions!$B$7,1,1),0,MONTH($G498)))</f>
        <v>8</v>
      </c>
      <c r="L498" s="113">
        <f t="shared" si="21"/>
        <v>6</v>
      </c>
      <c r="M498" s="82">
        <f t="shared" si="22"/>
        <v>31000</v>
      </c>
      <c r="N498" s="100">
        <f>IF(AND($F498&lt;=Assumptions!$B$6,OR($G498="",$G498&gt;Assumptions!$B$6)),1,0)</f>
        <v>1</v>
      </c>
      <c r="O498" s="82">
        <f t="shared" si="23"/>
        <v>62000</v>
      </c>
    </row>
    <row r="499" spans="1:15" x14ac:dyDescent="0.25">
      <c r="A499" s="76" t="s">
        <v>1530</v>
      </c>
      <c r="B499" s="76" t="s">
        <v>928</v>
      </c>
      <c r="C499" s="76" t="s">
        <v>358</v>
      </c>
      <c r="D499" s="76" t="s">
        <v>907</v>
      </c>
      <c r="E499" s="77">
        <v>2</v>
      </c>
      <c r="F499" s="103">
        <v>44531</v>
      </c>
      <c r="H499" s="78">
        <v>84700</v>
      </c>
      <c r="J499" s="100">
        <f>IF($F499&lt;DATE(Assumptions!$B$7,1,1),1,IF(YEAR($F499)&gt;Assumptions!$B$7,13,MONTH($F499)))</f>
        <v>1</v>
      </c>
      <c r="K499" s="100">
        <f>IF(OR($G499="",$G499&gt;Assumptions!$B$6),Assumptions!$B$8,IF($G499&lt;DATE(Assumptions!$B$7,1,1),0,MONTH($G499)))</f>
        <v>8</v>
      </c>
      <c r="L499" s="113">
        <f t="shared" si="21"/>
        <v>8</v>
      </c>
      <c r="M499" s="82">
        <f t="shared" si="22"/>
        <v>56466.666666666664</v>
      </c>
      <c r="N499" s="100">
        <f>IF(AND($F499&lt;=Assumptions!$B$6,OR($G499="",$G499&gt;Assumptions!$B$6)),1,0)</f>
        <v>1</v>
      </c>
      <c r="O499" s="82">
        <f t="shared" si="23"/>
        <v>84700</v>
      </c>
    </row>
    <row r="500" spans="1:15" x14ac:dyDescent="0.25">
      <c r="A500" s="76" t="s">
        <v>1531</v>
      </c>
      <c r="B500" s="76" t="s">
        <v>929</v>
      </c>
      <c r="C500" s="76" t="s">
        <v>358</v>
      </c>
      <c r="D500" s="76" t="s">
        <v>905</v>
      </c>
      <c r="E500" s="77">
        <v>1</v>
      </c>
      <c r="F500" s="103">
        <v>45200</v>
      </c>
      <c r="H500" s="78">
        <v>55000</v>
      </c>
      <c r="J500" s="100">
        <f>IF($F500&lt;DATE(Assumptions!$B$7,1,1),1,IF(YEAR($F500)&gt;Assumptions!$B$7,13,MONTH($F500)))</f>
        <v>1</v>
      </c>
      <c r="K500" s="100">
        <f>IF(OR($G500="",$G500&gt;Assumptions!$B$6),Assumptions!$B$8,IF($G500&lt;DATE(Assumptions!$B$7,1,1),0,MONTH($G500)))</f>
        <v>8</v>
      </c>
      <c r="L500" s="113">
        <f t="shared" si="21"/>
        <v>8</v>
      </c>
      <c r="M500" s="82">
        <f t="shared" si="22"/>
        <v>36666.666666666664</v>
      </c>
      <c r="N500" s="100">
        <f>IF(AND($F500&lt;=Assumptions!$B$6,OR($G500="",$G500&gt;Assumptions!$B$6)),1,0)</f>
        <v>1</v>
      </c>
      <c r="O500" s="82">
        <f t="shared" si="23"/>
        <v>55000</v>
      </c>
    </row>
    <row r="501" spans="1:15" x14ac:dyDescent="0.25">
      <c r="A501" s="76" t="s">
        <v>1532</v>
      </c>
      <c r="B501" s="76" t="s">
        <v>930</v>
      </c>
      <c r="C501" s="76" t="s">
        <v>358</v>
      </c>
      <c r="D501" s="76" t="s">
        <v>905</v>
      </c>
      <c r="E501" s="77">
        <v>1</v>
      </c>
      <c r="F501" s="103">
        <v>45444</v>
      </c>
      <c r="H501" s="78">
        <v>63600</v>
      </c>
      <c r="J501" s="100">
        <f>IF($F501&lt;DATE(Assumptions!$B$7,1,1),1,IF(YEAR($F501)&gt;Assumptions!$B$7,13,MONTH($F501)))</f>
        <v>1</v>
      </c>
      <c r="K501" s="100">
        <f>IF(OR($G501="",$G501&gt;Assumptions!$B$6),Assumptions!$B$8,IF($G501&lt;DATE(Assumptions!$B$7,1,1),0,MONTH($G501)))</f>
        <v>8</v>
      </c>
      <c r="L501" s="113">
        <f t="shared" si="21"/>
        <v>8</v>
      </c>
      <c r="M501" s="82">
        <f t="shared" si="22"/>
        <v>42400</v>
      </c>
      <c r="N501" s="100">
        <f>IF(AND($F501&lt;=Assumptions!$B$6,OR($G501="",$G501&gt;Assumptions!$B$6)),1,0)</f>
        <v>1</v>
      </c>
      <c r="O501" s="82">
        <f t="shared" si="23"/>
        <v>63600</v>
      </c>
    </row>
    <row r="502" spans="1:15" x14ac:dyDescent="0.25">
      <c r="A502" s="76" t="s">
        <v>1533</v>
      </c>
      <c r="B502" s="76" t="s">
        <v>931</v>
      </c>
      <c r="C502" s="76" t="s">
        <v>358</v>
      </c>
      <c r="D502" s="76" t="s">
        <v>909</v>
      </c>
      <c r="E502" s="77">
        <v>3</v>
      </c>
      <c r="F502" s="103">
        <v>43282</v>
      </c>
      <c r="H502" s="78">
        <v>102600</v>
      </c>
      <c r="J502" s="100">
        <f>IF($F502&lt;DATE(Assumptions!$B$7,1,1),1,IF(YEAR($F502)&gt;Assumptions!$B$7,13,MONTH($F502)))</f>
        <v>1</v>
      </c>
      <c r="K502" s="100">
        <f>IF(OR($G502="",$G502&gt;Assumptions!$B$6),Assumptions!$B$8,IF($G502&lt;DATE(Assumptions!$B$7,1,1),0,MONTH($G502)))</f>
        <v>8</v>
      </c>
      <c r="L502" s="113">
        <f t="shared" si="21"/>
        <v>8</v>
      </c>
      <c r="M502" s="82">
        <f t="shared" si="22"/>
        <v>68400</v>
      </c>
      <c r="N502" s="100">
        <f>IF(AND($F502&lt;=Assumptions!$B$6,OR($G502="",$G502&gt;Assumptions!$B$6)),1,0)</f>
        <v>1</v>
      </c>
      <c r="O502" s="82">
        <f t="shared" si="23"/>
        <v>102600</v>
      </c>
    </row>
    <row r="503" spans="1:15" x14ac:dyDescent="0.25">
      <c r="A503" s="76" t="s">
        <v>1534</v>
      </c>
      <c r="B503" s="76" t="s">
        <v>932</v>
      </c>
      <c r="C503" s="76" t="s">
        <v>358</v>
      </c>
      <c r="D503" s="76" t="s">
        <v>905</v>
      </c>
      <c r="E503" s="77">
        <v>1</v>
      </c>
      <c r="F503" s="103">
        <v>41730</v>
      </c>
      <c r="H503" s="78">
        <v>67300</v>
      </c>
      <c r="J503" s="100">
        <f>IF($F503&lt;DATE(Assumptions!$B$7,1,1),1,IF(YEAR($F503)&gt;Assumptions!$B$7,13,MONTH($F503)))</f>
        <v>1</v>
      </c>
      <c r="K503" s="100">
        <f>IF(OR($G503="",$G503&gt;Assumptions!$B$6),Assumptions!$B$8,IF($G503&lt;DATE(Assumptions!$B$7,1,1),0,MONTH($G503)))</f>
        <v>8</v>
      </c>
      <c r="L503" s="113">
        <f t="shared" si="21"/>
        <v>8</v>
      </c>
      <c r="M503" s="82">
        <f t="shared" si="22"/>
        <v>44866.666666666664</v>
      </c>
      <c r="N503" s="100">
        <f>IF(AND($F503&lt;=Assumptions!$B$6,OR($G503="",$G503&gt;Assumptions!$B$6)),1,0)</f>
        <v>1</v>
      </c>
      <c r="O503" s="82">
        <f t="shared" si="23"/>
        <v>67300</v>
      </c>
    </row>
    <row r="504" spans="1:15" x14ac:dyDescent="0.25">
      <c r="A504" s="76" t="s">
        <v>1535</v>
      </c>
      <c r="B504" s="76" t="s">
        <v>933</v>
      </c>
      <c r="C504" s="76" t="s">
        <v>358</v>
      </c>
      <c r="D504" s="76" t="s">
        <v>905</v>
      </c>
      <c r="E504" s="77">
        <v>1</v>
      </c>
      <c r="F504" s="103">
        <v>42948</v>
      </c>
      <c r="H504" s="78">
        <v>68900</v>
      </c>
      <c r="J504" s="100">
        <f>IF($F504&lt;DATE(Assumptions!$B$7,1,1),1,IF(YEAR($F504)&gt;Assumptions!$B$7,13,MONTH($F504)))</f>
        <v>1</v>
      </c>
      <c r="K504" s="100">
        <f>IF(OR($G504="",$G504&gt;Assumptions!$B$6),Assumptions!$B$8,IF($G504&lt;DATE(Assumptions!$B$7,1,1),0,MONTH($G504)))</f>
        <v>8</v>
      </c>
      <c r="L504" s="113">
        <f t="shared" si="21"/>
        <v>8</v>
      </c>
      <c r="M504" s="82">
        <f t="shared" si="22"/>
        <v>45933.333333333336</v>
      </c>
      <c r="N504" s="100">
        <f>IF(AND($F504&lt;=Assumptions!$B$6,OR($G504="",$G504&gt;Assumptions!$B$6)),1,0)</f>
        <v>1</v>
      </c>
      <c r="O504" s="82">
        <f t="shared" si="23"/>
        <v>68900</v>
      </c>
    </row>
    <row r="505" spans="1:15" x14ac:dyDescent="0.25">
      <c r="A505" s="76" t="s">
        <v>1536</v>
      </c>
      <c r="B505" s="76" t="s">
        <v>934</v>
      </c>
      <c r="C505" s="76" t="s">
        <v>358</v>
      </c>
      <c r="D505" s="76" t="s">
        <v>907</v>
      </c>
      <c r="E505" s="77">
        <v>2</v>
      </c>
      <c r="F505" s="103">
        <v>42461</v>
      </c>
      <c r="H505" s="78">
        <v>86600</v>
      </c>
      <c r="J505" s="100">
        <f>IF($F505&lt;DATE(Assumptions!$B$7,1,1),1,IF(YEAR($F505)&gt;Assumptions!$B$7,13,MONTH($F505)))</f>
        <v>1</v>
      </c>
      <c r="K505" s="100">
        <f>IF(OR($G505="",$G505&gt;Assumptions!$B$6),Assumptions!$B$8,IF($G505&lt;DATE(Assumptions!$B$7,1,1),0,MONTH($G505)))</f>
        <v>8</v>
      </c>
      <c r="L505" s="113">
        <f t="shared" si="21"/>
        <v>8</v>
      </c>
      <c r="M505" s="82">
        <f t="shared" si="22"/>
        <v>57733.333333333336</v>
      </c>
      <c r="N505" s="100">
        <f>IF(AND($F505&lt;=Assumptions!$B$6,OR($G505="",$G505&gt;Assumptions!$B$6)),1,0)</f>
        <v>1</v>
      </c>
      <c r="O505" s="82">
        <f t="shared" si="23"/>
        <v>86600</v>
      </c>
    </row>
    <row r="506" spans="1:15" x14ac:dyDescent="0.25">
      <c r="A506" s="76" t="s">
        <v>1537</v>
      </c>
      <c r="B506" s="76" t="s">
        <v>935</v>
      </c>
      <c r="C506" s="76" t="s">
        <v>358</v>
      </c>
      <c r="D506" s="76" t="s">
        <v>907</v>
      </c>
      <c r="E506" s="77">
        <v>2</v>
      </c>
      <c r="F506" s="103">
        <v>42583</v>
      </c>
      <c r="H506" s="78">
        <v>89100</v>
      </c>
      <c r="J506" s="100">
        <f>IF($F506&lt;DATE(Assumptions!$B$7,1,1),1,IF(YEAR($F506)&gt;Assumptions!$B$7,13,MONTH($F506)))</f>
        <v>1</v>
      </c>
      <c r="K506" s="100">
        <f>IF(OR($G506="",$G506&gt;Assumptions!$B$6),Assumptions!$B$8,IF($G506&lt;DATE(Assumptions!$B$7,1,1),0,MONTH($G506)))</f>
        <v>8</v>
      </c>
      <c r="L506" s="113">
        <f t="shared" si="21"/>
        <v>8</v>
      </c>
      <c r="M506" s="82">
        <f t="shared" si="22"/>
        <v>59400</v>
      </c>
      <c r="N506" s="100">
        <f>IF(AND($F506&lt;=Assumptions!$B$6,OR($G506="",$G506&gt;Assumptions!$B$6)),1,0)</f>
        <v>1</v>
      </c>
      <c r="O506" s="82">
        <f t="shared" si="23"/>
        <v>89100</v>
      </c>
    </row>
    <row r="507" spans="1:15" x14ac:dyDescent="0.25">
      <c r="A507" s="76" t="s">
        <v>1538</v>
      </c>
      <c r="B507" s="76" t="s">
        <v>936</v>
      </c>
      <c r="C507" s="76" t="s">
        <v>358</v>
      </c>
      <c r="D507" s="76" t="s">
        <v>905</v>
      </c>
      <c r="E507" s="77">
        <v>1</v>
      </c>
      <c r="F507" s="103">
        <v>44166</v>
      </c>
      <c r="H507" s="78">
        <v>67600</v>
      </c>
      <c r="J507" s="100">
        <f>IF($F507&lt;DATE(Assumptions!$B$7,1,1),1,IF(YEAR($F507)&gt;Assumptions!$B$7,13,MONTH($F507)))</f>
        <v>1</v>
      </c>
      <c r="K507" s="100">
        <f>IF(OR($G507="",$G507&gt;Assumptions!$B$6),Assumptions!$B$8,IF($G507&lt;DATE(Assumptions!$B$7,1,1),0,MONTH($G507)))</f>
        <v>8</v>
      </c>
      <c r="L507" s="113">
        <f t="shared" si="21"/>
        <v>8</v>
      </c>
      <c r="M507" s="82">
        <f t="shared" si="22"/>
        <v>45066.666666666664</v>
      </c>
      <c r="N507" s="100">
        <f>IF(AND($F507&lt;=Assumptions!$B$6,OR($G507="",$G507&gt;Assumptions!$B$6)),1,0)</f>
        <v>1</v>
      </c>
      <c r="O507" s="82">
        <f t="shared" si="23"/>
        <v>67600</v>
      </c>
    </row>
    <row r="508" spans="1:15" x14ac:dyDescent="0.25">
      <c r="A508" s="76" t="s">
        <v>1539</v>
      </c>
      <c r="B508" s="76" t="s">
        <v>937</v>
      </c>
      <c r="C508" s="76" t="s">
        <v>358</v>
      </c>
      <c r="D508" s="76" t="s">
        <v>905</v>
      </c>
      <c r="E508" s="77">
        <v>1</v>
      </c>
      <c r="F508" s="103">
        <v>42430</v>
      </c>
      <c r="H508" s="78">
        <v>69000</v>
      </c>
      <c r="J508" s="100">
        <f>IF($F508&lt;DATE(Assumptions!$B$7,1,1),1,IF(YEAR($F508)&gt;Assumptions!$B$7,13,MONTH($F508)))</f>
        <v>1</v>
      </c>
      <c r="K508" s="100">
        <f>IF(OR($G508="",$G508&gt;Assumptions!$B$6),Assumptions!$B$8,IF($G508&lt;DATE(Assumptions!$B$7,1,1),0,MONTH($G508)))</f>
        <v>8</v>
      </c>
      <c r="L508" s="113">
        <f t="shared" si="21"/>
        <v>8</v>
      </c>
      <c r="M508" s="82">
        <f t="shared" si="22"/>
        <v>46000</v>
      </c>
      <c r="N508" s="100">
        <f>IF(AND($F508&lt;=Assumptions!$B$6,OR($G508="",$G508&gt;Assumptions!$B$6)),1,0)</f>
        <v>1</v>
      </c>
      <c r="O508" s="82">
        <f t="shared" si="23"/>
        <v>69000</v>
      </c>
    </row>
    <row r="509" spans="1:15" x14ac:dyDescent="0.25">
      <c r="A509" s="76" t="s">
        <v>1540</v>
      </c>
      <c r="B509" s="76" t="s">
        <v>938</v>
      </c>
      <c r="C509" s="76" t="s">
        <v>358</v>
      </c>
      <c r="D509" s="76" t="s">
        <v>905</v>
      </c>
      <c r="E509" s="77">
        <v>1</v>
      </c>
      <c r="F509" s="103">
        <v>42979</v>
      </c>
      <c r="H509" s="78">
        <v>59900</v>
      </c>
      <c r="J509" s="100">
        <f>IF($F509&lt;DATE(Assumptions!$B$7,1,1),1,IF(YEAR($F509)&gt;Assumptions!$B$7,13,MONTH($F509)))</f>
        <v>1</v>
      </c>
      <c r="K509" s="100">
        <f>IF(OR($G509="",$G509&gt;Assumptions!$B$6),Assumptions!$B$8,IF($G509&lt;DATE(Assumptions!$B$7,1,1),0,MONTH($G509)))</f>
        <v>8</v>
      </c>
      <c r="L509" s="113">
        <f t="shared" si="21"/>
        <v>8</v>
      </c>
      <c r="M509" s="82">
        <f t="shared" si="22"/>
        <v>39933.333333333336</v>
      </c>
      <c r="N509" s="100">
        <f>IF(AND($F509&lt;=Assumptions!$B$6,OR($G509="",$G509&gt;Assumptions!$B$6)),1,0)</f>
        <v>1</v>
      </c>
      <c r="O509" s="82">
        <f t="shared" si="23"/>
        <v>59900</v>
      </c>
    </row>
    <row r="510" spans="1:15" x14ac:dyDescent="0.25">
      <c r="A510" s="76" t="s">
        <v>1541</v>
      </c>
      <c r="B510" s="76" t="s">
        <v>939</v>
      </c>
      <c r="C510" s="76" t="s">
        <v>358</v>
      </c>
      <c r="D510" s="76" t="s">
        <v>905</v>
      </c>
      <c r="E510" s="77">
        <v>1</v>
      </c>
      <c r="F510" s="103">
        <v>43497</v>
      </c>
      <c r="H510" s="78">
        <v>63100</v>
      </c>
      <c r="J510" s="100">
        <f>IF($F510&lt;DATE(Assumptions!$B$7,1,1),1,IF(YEAR($F510)&gt;Assumptions!$B$7,13,MONTH($F510)))</f>
        <v>1</v>
      </c>
      <c r="K510" s="100">
        <f>IF(OR($G510="",$G510&gt;Assumptions!$B$6),Assumptions!$B$8,IF($G510&lt;DATE(Assumptions!$B$7,1,1),0,MONTH($G510)))</f>
        <v>8</v>
      </c>
      <c r="L510" s="113">
        <f t="shared" si="21"/>
        <v>8</v>
      </c>
      <c r="M510" s="82">
        <f t="shared" si="22"/>
        <v>42066.666666666664</v>
      </c>
      <c r="N510" s="100">
        <f>IF(AND($F510&lt;=Assumptions!$B$6,OR($G510="",$G510&gt;Assumptions!$B$6)),1,0)</f>
        <v>1</v>
      </c>
      <c r="O510" s="82">
        <f t="shared" si="23"/>
        <v>63100</v>
      </c>
    </row>
    <row r="511" spans="1:15" x14ac:dyDescent="0.25">
      <c r="A511" s="76" t="s">
        <v>1542</v>
      </c>
      <c r="B511" s="76" t="s">
        <v>940</v>
      </c>
      <c r="C511" s="76" t="s">
        <v>358</v>
      </c>
      <c r="D511" s="76" t="s">
        <v>909</v>
      </c>
      <c r="E511" s="77">
        <v>3</v>
      </c>
      <c r="F511" s="103">
        <v>42552</v>
      </c>
      <c r="H511" s="78">
        <v>134000</v>
      </c>
      <c r="J511" s="100">
        <f>IF($F511&lt;DATE(Assumptions!$B$7,1,1),1,IF(YEAR($F511)&gt;Assumptions!$B$7,13,MONTH($F511)))</f>
        <v>1</v>
      </c>
      <c r="K511" s="100">
        <f>IF(OR($G511="",$G511&gt;Assumptions!$B$6),Assumptions!$B$8,IF($G511&lt;DATE(Assumptions!$B$7,1,1),0,MONTH($G511)))</f>
        <v>8</v>
      </c>
      <c r="L511" s="113">
        <f t="shared" si="21"/>
        <v>8</v>
      </c>
      <c r="M511" s="82">
        <f t="shared" si="22"/>
        <v>89333.333333333328</v>
      </c>
      <c r="N511" s="100">
        <f>IF(AND($F511&lt;=Assumptions!$B$6,OR($G511="",$G511&gt;Assumptions!$B$6)),1,0)</f>
        <v>1</v>
      </c>
      <c r="O511" s="82">
        <f t="shared" si="23"/>
        <v>134000</v>
      </c>
    </row>
    <row r="512" spans="1:15" x14ac:dyDescent="0.25">
      <c r="A512" s="76" t="s">
        <v>1543</v>
      </c>
      <c r="B512" s="76" t="s">
        <v>941</v>
      </c>
      <c r="C512" s="76" t="s">
        <v>358</v>
      </c>
      <c r="D512" s="76" t="s">
        <v>905</v>
      </c>
      <c r="E512" s="77">
        <v>1</v>
      </c>
      <c r="F512" s="103">
        <v>45170</v>
      </c>
      <c r="H512" s="78">
        <v>64000</v>
      </c>
      <c r="J512" s="100">
        <f>IF($F512&lt;DATE(Assumptions!$B$7,1,1),1,IF(YEAR($F512)&gt;Assumptions!$B$7,13,MONTH($F512)))</f>
        <v>1</v>
      </c>
      <c r="K512" s="100">
        <f>IF(OR($G512="",$G512&gt;Assumptions!$B$6),Assumptions!$B$8,IF($G512&lt;DATE(Assumptions!$B$7,1,1),0,MONTH($G512)))</f>
        <v>8</v>
      </c>
      <c r="L512" s="113">
        <f t="shared" si="21"/>
        <v>8</v>
      </c>
      <c r="M512" s="82">
        <f t="shared" si="22"/>
        <v>42666.666666666664</v>
      </c>
      <c r="N512" s="100">
        <f>IF(AND($F512&lt;=Assumptions!$B$6,OR($G512="",$G512&gt;Assumptions!$B$6)),1,0)</f>
        <v>1</v>
      </c>
      <c r="O512" s="82">
        <f t="shared" si="23"/>
        <v>64000</v>
      </c>
    </row>
    <row r="513" spans="1:15" x14ac:dyDescent="0.25">
      <c r="A513" s="76" t="s">
        <v>1544</v>
      </c>
      <c r="B513" s="76" t="s">
        <v>942</v>
      </c>
      <c r="C513" s="76" t="s">
        <v>358</v>
      </c>
      <c r="D513" s="76" t="s">
        <v>905</v>
      </c>
      <c r="E513" s="77">
        <v>1</v>
      </c>
      <c r="F513" s="103">
        <v>42401</v>
      </c>
      <c r="H513" s="78">
        <v>56400</v>
      </c>
      <c r="J513" s="100">
        <f>IF($F513&lt;DATE(Assumptions!$B$7,1,1),1,IF(YEAR($F513)&gt;Assumptions!$B$7,13,MONTH($F513)))</f>
        <v>1</v>
      </c>
      <c r="K513" s="100">
        <f>IF(OR($G513="",$G513&gt;Assumptions!$B$6),Assumptions!$B$8,IF($G513&lt;DATE(Assumptions!$B$7,1,1),0,MONTH($G513)))</f>
        <v>8</v>
      </c>
      <c r="L513" s="113">
        <f t="shared" si="21"/>
        <v>8</v>
      </c>
      <c r="M513" s="82">
        <f t="shared" si="22"/>
        <v>37600</v>
      </c>
      <c r="N513" s="100">
        <f>IF(AND($F513&lt;=Assumptions!$B$6,OR($G513="",$G513&gt;Assumptions!$B$6)),1,0)</f>
        <v>1</v>
      </c>
      <c r="O513" s="82">
        <f t="shared" si="23"/>
        <v>56400</v>
      </c>
    </row>
    <row r="514" spans="1:15" x14ac:dyDescent="0.25">
      <c r="A514" s="76" t="s">
        <v>1545</v>
      </c>
      <c r="B514" s="76" t="s">
        <v>943</v>
      </c>
      <c r="C514" s="76" t="s">
        <v>358</v>
      </c>
      <c r="D514" s="76" t="s">
        <v>905</v>
      </c>
      <c r="E514" s="77">
        <v>1</v>
      </c>
      <c r="F514" s="103">
        <v>45717</v>
      </c>
      <c r="H514" s="78">
        <v>52400</v>
      </c>
      <c r="J514" s="100">
        <f>IF($F514&lt;DATE(Assumptions!$B$7,1,1),1,IF(YEAR($F514)&gt;Assumptions!$B$7,13,MONTH($F514)))</f>
        <v>1</v>
      </c>
      <c r="K514" s="100">
        <f>IF(OR($G514="",$G514&gt;Assumptions!$B$6),Assumptions!$B$8,IF($G514&lt;DATE(Assumptions!$B$7,1,1),0,MONTH($G514)))</f>
        <v>8</v>
      </c>
      <c r="L514" s="113">
        <f t="shared" si="21"/>
        <v>8</v>
      </c>
      <c r="M514" s="82">
        <f t="shared" si="22"/>
        <v>34933.333333333336</v>
      </c>
      <c r="N514" s="100">
        <f>IF(AND($F514&lt;=Assumptions!$B$6,OR($G514="",$G514&gt;Assumptions!$B$6)),1,0)</f>
        <v>1</v>
      </c>
      <c r="O514" s="82">
        <f t="shared" si="23"/>
        <v>52400</v>
      </c>
    </row>
    <row r="515" spans="1:15" x14ac:dyDescent="0.25">
      <c r="A515" s="76" t="s">
        <v>1546</v>
      </c>
      <c r="B515" s="76" t="s">
        <v>944</v>
      </c>
      <c r="C515" s="76" t="s">
        <v>358</v>
      </c>
      <c r="D515" s="76" t="s">
        <v>905</v>
      </c>
      <c r="E515" s="77">
        <v>1</v>
      </c>
      <c r="F515" s="103">
        <v>44743</v>
      </c>
      <c r="H515" s="78">
        <v>68500</v>
      </c>
      <c r="J515" s="100">
        <f>IF($F515&lt;DATE(Assumptions!$B$7,1,1),1,IF(YEAR($F515)&gt;Assumptions!$B$7,13,MONTH($F515)))</f>
        <v>1</v>
      </c>
      <c r="K515" s="100">
        <f>IF(OR($G515="",$G515&gt;Assumptions!$B$6),Assumptions!$B$8,IF($G515&lt;DATE(Assumptions!$B$7,1,1),0,MONTH($G515)))</f>
        <v>8</v>
      </c>
      <c r="L515" s="113">
        <f t="shared" si="21"/>
        <v>8</v>
      </c>
      <c r="M515" s="82">
        <f t="shared" si="22"/>
        <v>45666.666666666664</v>
      </c>
      <c r="N515" s="100">
        <f>IF(AND($F515&lt;=Assumptions!$B$6,OR($G515="",$G515&gt;Assumptions!$B$6)),1,0)</f>
        <v>1</v>
      </c>
      <c r="O515" s="82">
        <f t="shared" si="23"/>
        <v>68500</v>
      </c>
    </row>
    <row r="516" spans="1:15" x14ac:dyDescent="0.25">
      <c r="A516" s="76" t="s">
        <v>1547</v>
      </c>
      <c r="B516" s="76" t="s">
        <v>945</v>
      </c>
      <c r="C516" s="76" t="s">
        <v>358</v>
      </c>
      <c r="D516" s="76" t="s">
        <v>905</v>
      </c>
      <c r="E516" s="77">
        <v>1</v>
      </c>
      <c r="F516" s="103">
        <v>45323</v>
      </c>
      <c r="H516" s="78">
        <v>67100</v>
      </c>
      <c r="J516" s="100">
        <f>IF($F516&lt;DATE(Assumptions!$B$7,1,1),1,IF(YEAR($F516)&gt;Assumptions!$B$7,13,MONTH($F516)))</f>
        <v>1</v>
      </c>
      <c r="K516" s="100">
        <f>IF(OR($G516="",$G516&gt;Assumptions!$B$6),Assumptions!$B$8,IF($G516&lt;DATE(Assumptions!$B$7,1,1),0,MONTH($G516)))</f>
        <v>8</v>
      </c>
      <c r="L516" s="113">
        <f t="shared" si="21"/>
        <v>8</v>
      </c>
      <c r="M516" s="82">
        <f t="shared" si="22"/>
        <v>44733.333333333336</v>
      </c>
      <c r="N516" s="100">
        <f>IF(AND($F516&lt;=Assumptions!$B$6,OR($G516="",$G516&gt;Assumptions!$B$6)),1,0)</f>
        <v>1</v>
      </c>
      <c r="O516" s="82">
        <f t="shared" si="23"/>
        <v>67100</v>
      </c>
    </row>
    <row r="517" spans="1:15" x14ac:dyDescent="0.25">
      <c r="A517" s="76" t="s">
        <v>1548</v>
      </c>
      <c r="B517" s="76" t="s">
        <v>946</v>
      </c>
      <c r="C517" s="76" t="s">
        <v>358</v>
      </c>
      <c r="D517" s="76" t="s">
        <v>905</v>
      </c>
      <c r="E517" s="77">
        <v>1</v>
      </c>
      <c r="F517" s="103">
        <v>45108</v>
      </c>
      <c r="H517" s="78">
        <v>65000</v>
      </c>
      <c r="J517" s="100">
        <f>IF($F517&lt;DATE(Assumptions!$B$7,1,1),1,IF(YEAR($F517)&gt;Assumptions!$B$7,13,MONTH($F517)))</f>
        <v>1</v>
      </c>
      <c r="K517" s="100">
        <f>IF(OR($G517="",$G517&gt;Assumptions!$B$6),Assumptions!$B$8,IF($G517&lt;DATE(Assumptions!$B$7,1,1),0,MONTH($G517)))</f>
        <v>8</v>
      </c>
      <c r="L517" s="113">
        <f t="shared" ref="L517:L537" si="24">MAX(0,K517-J517+1)</f>
        <v>8</v>
      </c>
      <c r="M517" s="82">
        <f t="shared" ref="M517:M537" si="25">$H517*L517/12</f>
        <v>43333.333333333336</v>
      </c>
      <c r="N517" s="100">
        <f>IF(AND($F517&lt;=Assumptions!$B$6,OR($G517="",$G517&gt;Assumptions!$B$6)),1,0)</f>
        <v>1</v>
      </c>
      <c r="O517" s="82">
        <f t="shared" ref="O517:O537" si="26">$H517*N517</f>
        <v>65000</v>
      </c>
    </row>
    <row r="518" spans="1:15" x14ac:dyDescent="0.25">
      <c r="A518" s="76" t="s">
        <v>1549</v>
      </c>
      <c r="B518" s="76" t="s">
        <v>947</v>
      </c>
      <c r="C518" s="76" t="s">
        <v>358</v>
      </c>
      <c r="D518" s="76" t="s">
        <v>905</v>
      </c>
      <c r="E518" s="77">
        <v>1</v>
      </c>
      <c r="F518" s="103">
        <v>45200</v>
      </c>
      <c r="H518" s="78">
        <v>60600</v>
      </c>
      <c r="J518" s="100">
        <f>IF($F518&lt;DATE(Assumptions!$B$7,1,1),1,IF(YEAR($F518)&gt;Assumptions!$B$7,13,MONTH($F518)))</f>
        <v>1</v>
      </c>
      <c r="K518" s="100">
        <f>IF(OR($G518="",$G518&gt;Assumptions!$B$6),Assumptions!$B$8,IF($G518&lt;DATE(Assumptions!$B$7,1,1),0,MONTH($G518)))</f>
        <v>8</v>
      </c>
      <c r="L518" s="113">
        <f t="shared" si="24"/>
        <v>8</v>
      </c>
      <c r="M518" s="82">
        <f t="shared" si="25"/>
        <v>40400</v>
      </c>
      <c r="N518" s="100">
        <f>IF(AND($F518&lt;=Assumptions!$B$6,OR($G518="",$G518&gt;Assumptions!$B$6)),1,0)</f>
        <v>1</v>
      </c>
      <c r="O518" s="82">
        <f t="shared" si="26"/>
        <v>60600</v>
      </c>
    </row>
    <row r="519" spans="1:15" x14ac:dyDescent="0.25">
      <c r="A519" s="76" t="s">
        <v>1550</v>
      </c>
      <c r="B519" s="76" t="s">
        <v>948</v>
      </c>
      <c r="C519" s="76" t="s">
        <v>358</v>
      </c>
      <c r="D519" s="76" t="s">
        <v>909</v>
      </c>
      <c r="E519" s="77">
        <v>3</v>
      </c>
      <c r="F519" s="103">
        <v>43983</v>
      </c>
      <c r="G519" s="103">
        <v>46234</v>
      </c>
      <c r="H519" s="78">
        <v>113900</v>
      </c>
      <c r="J519" s="100">
        <f>IF($F519&lt;DATE(Assumptions!$B$7,1,1),1,IF(YEAR($F519)&gt;Assumptions!$B$7,13,MONTH($F519)))</f>
        <v>1</v>
      </c>
      <c r="K519" s="100">
        <f>IF(OR($G519="",$G519&gt;Assumptions!$B$6),Assumptions!$B$8,IF($G519&lt;DATE(Assumptions!$B$7,1,1),0,MONTH($G519)))</f>
        <v>7</v>
      </c>
      <c r="L519" s="113">
        <f t="shared" si="24"/>
        <v>7</v>
      </c>
      <c r="M519" s="82">
        <f t="shared" si="25"/>
        <v>66441.666666666672</v>
      </c>
      <c r="N519" s="100">
        <f>IF(AND($F519&lt;=Assumptions!$B$6,OR($G519="",$G519&gt;Assumptions!$B$6)),1,0)</f>
        <v>0</v>
      </c>
      <c r="O519" s="82">
        <f t="shared" si="26"/>
        <v>0</v>
      </c>
    </row>
    <row r="520" spans="1:15" x14ac:dyDescent="0.25">
      <c r="A520" s="76" t="s">
        <v>1551</v>
      </c>
      <c r="B520" s="76" t="s">
        <v>949</v>
      </c>
      <c r="C520" s="76" t="s">
        <v>358</v>
      </c>
      <c r="D520" s="76" t="s">
        <v>907</v>
      </c>
      <c r="E520" s="77">
        <v>2</v>
      </c>
      <c r="F520" s="103">
        <v>42705</v>
      </c>
      <c r="H520" s="78">
        <v>95200</v>
      </c>
      <c r="J520" s="100">
        <f>IF($F520&lt;DATE(Assumptions!$B$7,1,1),1,IF(YEAR($F520)&gt;Assumptions!$B$7,13,MONTH($F520)))</f>
        <v>1</v>
      </c>
      <c r="K520" s="100">
        <f>IF(OR($G520="",$G520&gt;Assumptions!$B$6),Assumptions!$B$8,IF($G520&lt;DATE(Assumptions!$B$7,1,1),0,MONTH($G520)))</f>
        <v>8</v>
      </c>
      <c r="L520" s="113">
        <f t="shared" si="24"/>
        <v>8</v>
      </c>
      <c r="M520" s="82">
        <f t="shared" si="25"/>
        <v>63466.666666666664</v>
      </c>
      <c r="N520" s="100">
        <f>IF(AND($F520&lt;=Assumptions!$B$6,OR($G520="",$G520&gt;Assumptions!$B$6)),1,0)</f>
        <v>1</v>
      </c>
      <c r="O520" s="82">
        <f t="shared" si="26"/>
        <v>95200</v>
      </c>
    </row>
    <row r="521" spans="1:15" x14ac:dyDescent="0.25">
      <c r="A521" s="76" t="s">
        <v>1552</v>
      </c>
      <c r="B521" s="76" t="s">
        <v>950</v>
      </c>
      <c r="C521" s="76" t="s">
        <v>358</v>
      </c>
      <c r="D521" s="76" t="s">
        <v>905</v>
      </c>
      <c r="E521" s="77">
        <v>1</v>
      </c>
      <c r="F521" s="103">
        <v>44805</v>
      </c>
      <c r="H521" s="78">
        <v>68700</v>
      </c>
      <c r="J521" s="100">
        <f>IF($F521&lt;DATE(Assumptions!$B$7,1,1),1,IF(YEAR($F521)&gt;Assumptions!$B$7,13,MONTH($F521)))</f>
        <v>1</v>
      </c>
      <c r="K521" s="100">
        <f>IF(OR($G521="",$G521&gt;Assumptions!$B$6),Assumptions!$B$8,IF($G521&lt;DATE(Assumptions!$B$7,1,1),0,MONTH($G521)))</f>
        <v>8</v>
      </c>
      <c r="L521" s="113">
        <f t="shared" si="24"/>
        <v>8</v>
      </c>
      <c r="M521" s="82">
        <f t="shared" si="25"/>
        <v>45800</v>
      </c>
      <c r="N521" s="100">
        <f>IF(AND($F521&lt;=Assumptions!$B$6,OR($G521="",$G521&gt;Assumptions!$B$6)),1,0)</f>
        <v>1</v>
      </c>
      <c r="O521" s="82">
        <f t="shared" si="26"/>
        <v>68700</v>
      </c>
    </row>
    <row r="522" spans="1:15" x14ac:dyDescent="0.25">
      <c r="A522" s="76" t="s">
        <v>1553</v>
      </c>
      <c r="B522" s="76" t="s">
        <v>951</v>
      </c>
      <c r="C522" s="76" t="s">
        <v>358</v>
      </c>
      <c r="D522" s="76" t="s">
        <v>905</v>
      </c>
      <c r="E522" s="77">
        <v>1</v>
      </c>
      <c r="F522" s="103">
        <v>45505</v>
      </c>
      <c r="H522" s="78">
        <v>52700</v>
      </c>
      <c r="J522" s="100">
        <f>IF($F522&lt;DATE(Assumptions!$B$7,1,1),1,IF(YEAR($F522)&gt;Assumptions!$B$7,13,MONTH($F522)))</f>
        <v>1</v>
      </c>
      <c r="K522" s="100">
        <f>IF(OR($G522="",$G522&gt;Assumptions!$B$6),Assumptions!$B$8,IF($G522&lt;DATE(Assumptions!$B$7,1,1),0,MONTH($G522)))</f>
        <v>8</v>
      </c>
      <c r="L522" s="113">
        <f t="shared" si="24"/>
        <v>8</v>
      </c>
      <c r="M522" s="82">
        <f t="shared" si="25"/>
        <v>35133.333333333336</v>
      </c>
      <c r="N522" s="100">
        <f>IF(AND($F522&lt;=Assumptions!$B$6,OR($G522="",$G522&gt;Assumptions!$B$6)),1,0)</f>
        <v>1</v>
      </c>
      <c r="O522" s="82">
        <f t="shared" si="26"/>
        <v>52700</v>
      </c>
    </row>
    <row r="523" spans="1:15" x14ac:dyDescent="0.25">
      <c r="A523" s="76" t="s">
        <v>1554</v>
      </c>
      <c r="B523" s="76" t="s">
        <v>952</v>
      </c>
      <c r="C523" s="76" t="s">
        <v>358</v>
      </c>
      <c r="D523" s="76" t="s">
        <v>907</v>
      </c>
      <c r="E523" s="77">
        <v>2</v>
      </c>
      <c r="F523" s="103">
        <v>45444</v>
      </c>
      <c r="H523" s="78">
        <v>92400</v>
      </c>
      <c r="J523" s="100">
        <f>IF($F523&lt;DATE(Assumptions!$B$7,1,1),1,IF(YEAR($F523)&gt;Assumptions!$B$7,13,MONTH($F523)))</f>
        <v>1</v>
      </c>
      <c r="K523" s="100">
        <f>IF(OR($G523="",$G523&gt;Assumptions!$B$6),Assumptions!$B$8,IF($G523&lt;DATE(Assumptions!$B$7,1,1),0,MONTH($G523)))</f>
        <v>8</v>
      </c>
      <c r="L523" s="113">
        <f t="shared" si="24"/>
        <v>8</v>
      </c>
      <c r="M523" s="82">
        <f t="shared" si="25"/>
        <v>61600</v>
      </c>
      <c r="N523" s="100">
        <f>IF(AND($F523&lt;=Assumptions!$B$6,OR($G523="",$G523&gt;Assumptions!$B$6)),1,0)</f>
        <v>1</v>
      </c>
      <c r="O523" s="82">
        <f t="shared" si="26"/>
        <v>92400</v>
      </c>
    </row>
    <row r="524" spans="1:15" x14ac:dyDescent="0.25">
      <c r="A524" s="76" t="s">
        <v>1555</v>
      </c>
      <c r="B524" s="76" t="s">
        <v>953</v>
      </c>
      <c r="C524" s="76" t="s">
        <v>358</v>
      </c>
      <c r="D524" s="76" t="s">
        <v>907</v>
      </c>
      <c r="E524" s="77">
        <v>2</v>
      </c>
      <c r="F524" s="103">
        <v>45047</v>
      </c>
      <c r="H524" s="78">
        <v>98100</v>
      </c>
      <c r="J524" s="100">
        <f>IF($F524&lt;DATE(Assumptions!$B$7,1,1),1,IF(YEAR($F524)&gt;Assumptions!$B$7,13,MONTH($F524)))</f>
        <v>1</v>
      </c>
      <c r="K524" s="100">
        <f>IF(OR($G524="",$G524&gt;Assumptions!$B$6),Assumptions!$B$8,IF($G524&lt;DATE(Assumptions!$B$7,1,1),0,MONTH($G524)))</f>
        <v>8</v>
      </c>
      <c r="L524" s="113">
        <f t="shared" si="24"/>
        <v>8</v>
      </c>
      <c r="M524" s="82">
        <f t="shared" si="25"/>
        <v>65400</v>
      </c>
      <c r="N524" s="100">
        <f>IF(AND($F524&lt;=Assumptions!$B$6,OR($G524="",$G524&gt;Assumptions!$B$6)),1,0)</f>
        <v>1</v>
      </c>
      <c r="O524" s="82">
        <f t="shared" si="26"/>
        <v>98100</v>
      </c>
    </row>
    <row r="525" spans="1:15" x14ac:dyDescent="0.25">
      <c r="A525" s="76" t="s">
        <v>1556</v>
      </c>
      <c r="B525" s="76" t="s">
        <v>954</v>
      </c>
      <c r="C525" s="76" t="s">
        <v>358</v>
      </c>
      <c r="D525" s="76" t="s">
        <v>905</v>
      </c>
      <c r="E525" s="77">
        <v>1</v>
      </c>
      <c r="F525" s="103">
        <v>41944</v>
      </c>
      <c r="H525" s="78">
        <v>70100</v>
      </c>
      <c r="J525" s="100">
        <f>IF($F525&lt;DATE(Assumptions!$B$7,1,1),1,IF(YEAR($F525)&gt;Assumptions!$B$7,13,MONTH($F525)))</f>
        <v>1</v>
      </c>
      <c r="K525" s="100">
        <f>IF(OR($G525="",$G525&gt;Assumptions!$B$6),Assumptions!$B$8,IF($G525&lt;DATE(Assumptions!$B$7,1,1),0,MONTH($G525)))</f>
        <v>8</v>
      </c>
      <c r="L525" s="113">
        <f t="shared" si="24"/>
        <v>8</v>
      </c>
      <c r="M525" s="82">
        <f t="shared" si="25"/>
        <v>46733.333333333336</v>
      </c>
      <c r="N525" s="100">
        <f>IF(AND($F525&lt;=Assumptions!$B$6,OR($G525="",$G525&gt;Assumptions!$B$6)),1,0)</f>
        <v>1</v>
      </c>
      <c r="O525" s="82">
        <f t="shared" si="26"/>
        <v>70100</v>
      </c>
    </row>
    <row r="526" spans="1:15" x14ac:dyDescent="0.25">
      <c r="A526" s="76" t="s">
        <v>1557</v>
      </c>
      <c r="B526" s="76" t="s">
        <v>955</v>
      </c>
      <c r="C526" s="76" t="s">
        <v>358</v>
      </c>
      <c r="D526" s="76" t="s">
        <v>907</v>
      </c>
      <c r="E526" s="77">
        <v>2</v>
      </c>
      <c r="F526" s="103">
        <v>44562</v>
      </c>
      <c r="G526" s="103">
        <v>46112</v>
      </c>
      <c r="H526" s="78">
        <v>71500</v>
      </c>
      <c r="J526" s="100">
        <f>IF($F526&lt;DATE(Assumptions!$B$7,1,1),1,IF(YEAR($F526)&gt;Assumptions!$B$7,13,MONTH($F526)))</f>
        <v>1</v>
      </c>
      <c r="K526" s="100">
        <f>IF(OR($G526="",$G526&gt;Assumptions!$B$6),Assumptions!$B$8,IF($G526&lt;DATE(Assumptions!$B$7,1,1),0,MONTH($G526)))</f>
        <v>3</v>
      </c>
      <c r="L526" s="113">
        <f t="shared" si="24"/>
        <v>3</v>
      </c>
      <c r="M526" s="82">
        <f t="shared" si="25"/>
        <v>17875</v>
      </c>
      <c r="N526" s="100">
        <f>IF(AND($F526&lt;=Assumptions!$B$6,OR($G526="",$G526&gt;Assumptions!$B$6)),1,0)</f>
        <v>0</v>
      </c>
      <c r="O526" s="82">
        <f t="shared" si="26"/>
        <v>0</v>
      </c>
    </row>
    <row r="527" spans="1:15" x14ac:dyDescent="0.25">
      <c r="A527" s="76" t="s">
        <v>1558</v>
      </c>
      <c r="B527" s="76" t="s">
        <v>955</v>
      </c>
      <c r="C527" s="76" t="s">
        <v>358</v>
      </c>
      <c r="D527" s="76" t="s">
        <v>907</v>
      </c>
      <c r="E527" s="77">
        <v>2</v>
      </c>
      <c r="F527" s="103">
        <v>46174</v>
      </c>
      <c r="H527" s="78">
        <v>77500</v>
      </c>
      <c r="J527" s="100">
        <f>IF($F527&lt;DATE(Assumptions!$B$7,1,1),1,IF(YEAR($F527)&gt;Assumptions!$B$7,13,MONTH($F527)))</f>
        <v>6</v>
      </c>
      <c r="K527" s="100">
        <f>IF(OR($G527="",$G527&gt;Assumptions!$B$6),Assumptions!$B$8,IF($G527&lt;DATE(Assumptions!$B$7,1,1),0,MONTH($G527)))</f>
        <v>8</v>
      </c>
      <c r="L527" s="113">
        <f t="shared" si="24"/>
        <v>3</v>
      </c>
      <c r="M527" s="82">
        <f t="shared" si="25"/>
        <v>19375</v>
      </c>
      <c r="N527" s="100">
        <f>IF(AND($F527&lt;=Assumptions!$B$6,OR($G527="",$G527&gt;Assumptions!$B$6)),1,0)</f>
        <v>1</v>
      </c>
      <c r="O527" s="82">
        <f t="shared" si="26"/>
        <v>77500</v>
      </c>
    </row>
    <row r="528" spans="1:15" x14ac:dyDescent="0.25">
      <c r="A528" s="76" t="s">
        <v>1559</v>
      </c>
      <c r="B528" s="76" t="s">
        <v>956</v>
      </c>
      <c r="C528" s="76" t="s">
        <v>358</v>
      </c>
      <c r="D528" s="76" t="s">
        <v>905</v>
      </c>
      <c r="E528" s="77">
        <v>1</v>
      </c>
      <c r="F528" s="103">
        <v>44652</v>
      </c>
      <c r="H528" s="78">
        <v>64300</v>
      </c>
      <c r="J528" s="100">
        <f>IF($F528&lt;DATE(Assumptions!$B$7,1,1),1,IF(YEAR($F528)&gt;Assumptions!$B$7,13,MONTH($F528)))</f>
        <v>1</v>
      </c>
      <c r="K528" s="100">
        <f>IF(OR($G528="",$G528&gt;Assumptions!$B$6),Assumptions!$B$8,IF($G528&lt;DATE(Assumptions!$B$7,1,1),0,MONTH($G528)))</f>
        <v>8</v>
      </c>
      <c r="L528" s="113">
        <f t="shared" si="24"/>
        <v>8</v>
      </c>
      <c r="M528" s="82">
        <f t="shared" si="25"/>
        <v>42866.666666666664</v>
      </c>
      <c r="N528" s="100">
        <f>IF(AND($F528&lt;=Assumptions!$B$6,OR($G528="",$G528&gt;Assumptions!$B$6)),1,0)</f>
        <v>1</v>
      </c>
      <c r="O528" s="82">
        <f t="shared" si="26"/>
        <v>64300</v>
      </c>
    </row>
    <row r="529" spans="1:15" x14ac:dyDescent="0.25">
      <c r="A529" s="76" t="s">
        <v>1560</v>
      </c>
      <c r="B529" s="76" t="s">
        <v>957</v>
      </c>
      <c r="C529" s="76" t="s">
        <v>358</v>
      </c>
      <c r="D529" s="76" t="s">
        <v>907</v>
      </c>
      <c r="E529" s="77">
        <v>2</v>
      </c>
      <c r="F529" s="103">
        <v>43983</v>
      </c>
      <c r="H529" s="78">
        <v>80300</v>
      </c>
      <c r="J529" s="100">
        <f>IF($F529&lt;DATE(Assumptions!$B$7,1,1),1,IF(YEAR($F529)&gt;Assumptions!$B$7,13,MONTH($F529)))</f>
        <v>1</v>
      </c>
      <c r="K529" s="100">
        <f>IF(OR($G529="",$G529&gt;Assumptions!$B$6),Assumptions!$B$8,IF($G529&lt;DATE(Assumptions!$B$7,1,1),0,MONTH($G529)))</f>
        <v>8</v>
      </c>
      <c r="L529" s="113">
        <f t="shared" si="24"/>
        <v>8</v>
      </c>
      <c r="M529" s="82">
        <f t="shared" si="25"/>
        <v>53533.333333333336</v>
      </c>
      <c r="N529" s="100">
        <f>IF(AND($F529&lt;=Assumptions!$B$6,OR($G529="",$G529&gt;Assumptions!$B$6)),1,0)</f>
        <v>1</v>
      </c>
      <c r="O529" s="82">
        <f t="shared" si="26"/>
        <v>80300</v>
      </c>
    </row>
    <row r="530" spans="1:15" x14ac:dyDescent="0.25">
      <c r="A530" s="76" t="s">
        <v>1561</v>
      </c>
      <c r="B530" s="76" t="s">
        <v>958</v>
      </c>
      <c r="C530" s="76" t="s">
        <v>358</v>
      </c>
      <c r="D530" s="76" t="s">
        <v>907</v>
      </c>
      <c r="E530" s="77">
        <v>2</v>
      </c>
      <c r="F530" s="103">
        <v>45778</v>
      </c>
      <c r="H530" s="78">
        <v>81500</v>
      </c>
      <c r="J530" s="100">
        <f>IF($F530&lt;DATE(Assumptions!$B$7,1,1),1,IF(YEAR($F530)&gt;Assumptions!$B$7,13,MONTH($F530)))</f>
        <v>1</v>
      </c>
      <c r="K530" s="100">
        <f>IF(OR($G530="",$G530&gt;Assumptions!$B$6),Assumptions!$B$8,IF($G530&lt;DATE(Assumptions!$B$7,1,1),0,MONTH($G530)))</f>
        <v>8</v>
      </c>
      <c r="L530" s="113">
        <f t="shared" si="24"/>
        <v>8</v>
      </c>
      <c r="M530" s="82">
        <f t="shared" si="25"/>
        <v>54333.333333333336</v>
      </c>
      <c r="N530" s="100">
        <f>IF(AND($F530&lt;=Assumptions!$B$6,OR($G530="",$G530&gt;Assumptions!$B$6)),1,0)</f>
        <v>1</v>
      </c>
      <c r="O530" s="82">
        <f t="shared" si="26"/>
        <v>81500</v>
      </c>
    </row>
    <row r="531" spans="1:15" x14ac:dyDescent="0.25">
      <c r="A531" s="76" t="s">
        <v>1562</v>
      </c>
      <c r="B531" s="76" t="s">
        <v>959</v>
      </c>
      <c r="C531" s="76" t="s">
        <v>358</v>
      </c>
      <c r="D531" s="76" t="s">
        <v>905</v>
      </c>
      <c r="E531" s="77">
        <v>1</v>
      </c>
      <c r="F531" s="103">
        <v>42461</v>
      </c>
      <c r="H531" s="78">
        <v>64900</v>
      </c>
      <c r="J531" s="100">
        <f>IF($F531&lt;DATE(Assumptions!$B$7,1,1),1,IF(YEAR($F531)&gt;Assumptions!$B$7,13,MONTH($F531)))</f>
        <v>1</v>
      </c>
      <c r="K531" s="100">
        <f>IF(OR($G531="",$G531&gt;Assumptions!$B$6),Assumptions!$B$8,IF($G531&lt;DATE(Assumptions!$B$7,1,1),0,MONTH($G531)))</f>
        <v>8</v>
      </c>
      <c r="L531" s="113">
        <f t="shared" si="24"/>
        <v>8</v>
      </c>
      <c r="M531" s="82">
        <f t="shared" si="25"/>
        <v>43266.666666666664</v>
      </c>
      <c r="N531" s="100">
        <f>IF(AND($F531&lt;=Assumptions!$B$6,OR($G531="",$G531&gt;Assumptions!$B$6)),1,0)</f>
        <v>1</v>
      </c>
      <c r="O531" s="82">
        <f t="shared" si="26"/>
        <v>64900</v>
      </c>
    </row>
    <row r="532" spans="1:15" x14ac:dyDescent="0.25">
      <c r="A532" s="76" t="s">
        <v>1563</v>
      </c>
      <c r="B532" s="76" t="s">
        <v>960</v>
      </c>
      <c r="C532" s="76" t="s">
        <v>358</v>
      </c>
      <c r="D532" s="76" t="s">
        <v>905</v>
      </c>
      <c r="E532" s="77">
        <v>1</v>
      </c>
      <c r="F532" s="103">
        <v>41760</v>
      </c>
      <c r="H532" s="78">
        <v>55500</v>
      </c>
      <c r="J532" s="100">
        <f>IF($F532&lt;DATE(Assumptions!$B$7,1,1),1,IF(YEAR($F532)&gt;Assumptions!$B$7,13,MONTH($F532)))</f>
        <v>1</v>
      </c>
      <c r="K532" s="100">
        <f>IF(OR($G532="",$G532&gt;Assumptions!$B$6),Assumptions!$B$8,IF($G532&lt;DATE(Assumptions!$B$7,1,1),0,MONTH($G532)))</f>
        <v>8</v>
      </c>
      <c r="L532" s="113">
        <f t="shared" si="24"/>
        <v>8</v>
      </c>
      <c r="M532" s="82">
        <f t="shared" si="25"/>
        <v>37000</v>
      </c>
      <c r="N532" s="100">
        <f>IF(AND($F532&lt;=Assumptions!$B$6,OR($G532="",$G532&gt;Assumptions!$B$6)),1,0)</f>
        <v>1</v>
      </c>
      <c r="O532" s="82">
        <f t="shared" si="26"/>
        <v>55500</v>
      </c>
    </row>
    <row r="533" spans="1:15" x14ac:dyDescent="0.25">
      <c r="A533" s="76" t="s">
        <v>1564</v>
      </c>
      <c r="B533" s="76" t="s">
        <v>961</v>
      </c>
      <c r="C533" s="76" t="s">
        <v>358</v>
      </c>
      <c r="D533" s="76" t="s">
        <v>905</v>
      </c>
      <c r="E533" s="77">
        <v>1</v>
      </c>
      <c r="F533" s="103">
        <v>41699</v>
      </c>
      <c r="H533" s="78">
        <v>55200</v>
      </c>
      <c r="J533" s="100">
        <f>IF($F533&lt;DATE(Assumptions!$B$7,1,1),1,IF(YEAR($F533)&gt;Assumptions!$B$7,13,MONTH($F533)))</f>
        <v>1</v>
      </c>
      <c r="K533" s="100">
        <f>IF(OR($G533="",$G533&gt;Assumptions!$B$6),Assumptions!$B$8,IF($G533&lt;DATE(Assumptions!$B$7,1,1),0,MONTH($G533)))</f>
        <v>8</v>
      </c>
      <c r="L533" s="113">
        <f t="shared" si="24"/>
        <v>8</v>
      </c>
      <c r="M533" s="82">
        <f t="shared" si="25"/>
        <v>36800</v>
      </c>
      <c r="N533" s="100">
        <f>IF(AND($F533&lt;=Assumptions!$B$6,OR($G533="",$G533&gt;Assumptions!$B$6)),1,0)</f>
        <v>1</v>
      </c>
      <c r="O533" s="82">
        <f t="shared" si="26"/>
        <v>55200</v>
      </c>
    </row>
    <row r="534" spans="1:15" x14ac:dyDescent="0.25">
      <c r="A534" s="76" t="s">
        <v>1565</v>
      </c>
      <c r="B534" s="76" t="s">
        <v>962</v>
      </c>
      <c r="C534" s="76" t="s">
        <v>358</v>
      </c>
      <c r="D534" s="76" t="s">
        <v>907</v>
      </c>
      <c r="E534" s="77">
        <v>2</v>
      </c>
      <c r="F534" s="103">
        <v>46082</v>
      </c>
      <c r="H534" s="78">
        <v>76500</v>
      </c>
      <c r="J534" s="100">
        <f>IF($F534&lt;DATE(Assumptions!$B$7,1,1),1,IF(YEAR($F534)&gt;Assumptions!$B$7,13,MONTH($F534)))</f>
        <v>3</v>
      </c>
      <c r="K534" s="100">
        <f>IF(OR($G534="",$G534&gt;Assumptions!$B$6),Assumptions!$B$8,IF($G534&lt;DATE(Assumptions!$B$7,1,1),0,MONTH($G534)))</f>
        <v>8</v>
      </c>
      <c r="L534" s="113">
        <f t="shared" si="24"/>
        <v>6</v>
      </c>
      <c r="M534" s="82">
        <f t="shared" si="25"/>
        <v>38250</v>
      </c>
      <c r="N534" s="100">
        <f>IF(AND($F534&lt;=Assumptions!$B$6,OR($G534="",$G534&gt;Assumptions!$B$6)),1,0)</f>
        <v>1</v>
      </c>
      <c r="O534" s="82">
        <f t="shared" si="26"/>
        <v>76500</v>
      </c>
    </row>
    <row r="535" spans="1:15" x14ac:dyDescent="0.25">
      <c r="A535" s="76" t="s">
        <v>1566</v>
      </c>
      <c r="B535" s="76" t="s">
        <v>963</v>
      </c>
      <c r="C535" s="76" t="s">
        <v>358</v>
      </c>
      <c r="D535" s="76" t="s">
        <v>905</v>
      </c>
      <c r="E535" s="77">
        <v>1</v>
      </c>
      <c r="F535" s="103">
        <v>46082</v>
      </c>
      <c r="H535" s="78">
        <v>62500</v>
      </c>
      <c r="J535" s="100">
        <f>IF($F535&lt;DATE(Assumptions!$B$7,1,1),1,IF(YEAR($F535)&gt;Assumptions!$B$7,13,MONTH($F535)))</f>
        <v>3</v>
      </c>
      <c r="K535" s="100">
        <f>IF(OR($G535="",$G535&gt;Assumptions!$B$6),Assumptions!$B$8,IF($G535&lt;DATE(Assumptions!$B$7,1,1),0,MONTH($G535)))</f>
        <v>8</v>
      </c>
      <c r="L535" s="113">
        <f t="shared" si="24"/>
        <v>6</v>
      </c>
      <c r="M535" s="82">
        <f t="shared" si="25"/>
        <v>31250</v>
      </c>
      <c r="N535" s="100">
        <f>IF(AND($F535&lt;=Assumptions!$B$6,OR($G535="",$G535&gt;Assumptions!$B$6)),1,0)</f>
        <v>1</v>
      </c>
      <c r="O535" s="82">
        <f t="shared" si="26"/>
        <v>62500</v>
      </c>
    </row>
    <row r="536" spans="1:15" x14ac:dyDescent="0.25">
      <c r="A536" s="76" t="s">
        <v>1567</v>
      </c>
      <c r="B536" s="76" t="s">
        <v>964</v>
      </c>
      <c r="C536" s="76" t="s">
        <v>358</v>
      </c>
      <c r="D536" s="76" t="s">
        <v>905</v>
      </c>
      <c r="E536" s="77">
        <v>1</v>
      </c>
      <c r="F536" s="103">
        <v>46143</v>
      </c>
      <c r="H536" s="78">
        <v>69000</v>
      </c>
      <c r="J536" s="100">
        <f>IF($F536&lt;DATE(Assumptions!$B$7,1,1),1,IF(YEAR($F536)&gt;Assumptions!$B$7,13,MONTH($F536)))</f>
        <v>5</v>
      </c>
      <c r="K536" s="100">
        <f>IF(OR($G536="",$G536&gt;Assumptions!$B$6),Assumptions!$B$8,IF($G536&lt;DATE(Assumptions!$B$7,1,1),0,MONTH($G536)))</f>
        <v>8</v>
      </c>
      <c r="L536" s="113">
        <f t="shared" si="24"/>
        <v>4</v>
      </c>
      <c r="M536" s="82">
        <f t="shared" si="25"/>
        <v>23000</v>
      </c>
      <c r="N536" s="100">
        <f>IF(AND($F536&lt;=Assumptions!$B$6,OR($G536="",$G536&gt;Assumptions!$B$6)),1,0)</f>
        <v>1</v>
      </c>
      <c r="O536" s="82">
        <f t="shared" si="26"/>
        <v>69000</v>
      </c>
    </row>
    <row r="537" spans="1:15" x14ac:dyDescent="0.25">
      <c r="A537" s="76" t="s">
        <v>1568</v>
      </c>
      <c r="B537" s="76" t="s">
        <v>965</v>
      </c>
      <c r="C537" s="76" t="s">
        <v>358</v>
      </c>
      <c r="D537" s="76" t="s">
        <v>907</v>
      </c>
      <c r="E537" s="77">
        <v>2</v>
      </c>
      <c r="F537" s="103">
        <v>46204</v>
      </c>
      <c r="H537" s="78">
        <v>93500</v>
      </c>
      <c r="J537" s="100">
        <f>IF($F537&lt;DATE(Assumptions!$B$7,1,1),1,IF(YEAR($F537)&gt;Assumptions!$B$7,13,MONTH($F537)))</f>
        <v>7</v>
      </c>
      <c r="K537" s="100">
        <f>IF(OR($G537="",$G537&gt;Assumptions!$B$6),Assumptions!$B$8,IF($G537&lt;DATE(Assumptions!$B$7,1,1),0,MONTH($G537)))</f>
        <v>8</v>
      </c>
      <c r="L537" s="113">
        <f t="shared" si="24"/>
        <v>2</v>
      </c>
      <c r="M537" s="82">
        <f t="shared" si="25"/>
        <v>15583.333333333334</v>
      </c>
      <c r="N537" s="100">
        <f>IF(AND($F537&lt;=Assumptions!$B$6,OR($G537="",$G537&gt;Assumptions!$B$6)),1,0)</f>
        <v>1</v>
      </c>
      <c r="O537" s="82">
        <f t="shared" si="26"/>
        <v>93500</v>
      </c>
    </row>
  </sheetData>
  <autoFilter ref="A4:O537" xr:uid="{00000000-0009-0000-0000-000007000000}"/>
  <pageMargins left="0.75" right="0.75" top="1" bottom="1" header="0.511811023622047" footer="0.511811023622047"/>
  <pageSetup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Weekly Hiring Approvals</vt:lpstr>
      <vt:lpstr>How It Works</vt:lpstr>
      <vt:lpstr>Assumptions</vt:lpstr>
      <vt:lpstr>Acquisitions</vt:lpstr>
      <vt:lpstr>Dept Summary</vt:lpstr>
      <vt:lpstr>Seats</vt:lpstr>
      <vt:lpstr>Requests</vt:lpstr>
      <vt:lpstr>Roster</vt:lpstr>
      <vt:lpstr>'Weekly Hiring Approvals'!Print_Area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Kevin Blouse</dc:creator>
  <dc:description/>
  <cp:lastModifiedBy>Kevin Blouse</cp:lastModifiedBy>
  <cp:revision>0</cp:revision>
  <dcterms:created xsi:type="dcterms:W3CDTF">2026-09-27T23:24:42Z</dcterms:created>
  <dcterms:modified xsi:type="dcterms:W3CDTF">2026-10-11T16:01:35Z</dcterms:modified>
  <dc:language>en-US</dc:language>
</cp:coreProperties>
</file>